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\Downloads\"/>
    </mc:Choice>
  </mc:AlternateContent>
  <bookViews>
    <workbookView xWindow="0" yWindow="0" windowWidth="19200" windowHeight="7060"/>
  </bookViews>
  <sheets>
    <sheet name="Nizhny Novgorod land leases" sheetId="1" r:id="rId1"/>
    <sheet name="лесные_склады" sheetId="2" r:id="rId2"/>
    <sheet name="индексы_графики" sheetId="5" r:id="rId3"/>
    <sheet name="курс_рубля" sheetId="4" r:id="rId4"/>
    <sheet name="источники_кирпичн_заводы" sheetId="3" r:id="rId5"/>
    <sheet name="источники_лесные_склады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I60" i="1"/>
  <c r="I49" i="1"/>
  <c r="C62" i="1"/>
  <c r="C61" i="1"/>
  <c r="C60" i="1"/>
  <c r="C59" i="1"/>
  <c r="C55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E3" i="5"/>
  <c r="K41" i="5" l="1"/>
  <c r="K38" i="5"/>
  <c r="K35" i="5"/>
  <c r="K32" i="5"/>
  <c r="K29" i="5"/>
  <c r="K26" i="5"/>
  <c r="F4" i="5"/>
  <c r="B32" i="5"/>
  <c r="B29" i="5"/>
  <c r="B26" i="5"/>
  <c r="K40" i="5"/>
  <c r="K37" i="5"/>
  <c r="K34" i="5"/>
  <c r="K31" i="5"/>
  <c r="K28" i="5"/>
  <c r="K25" i="5"/>
  <c r="B31" i="5" l="1"/>
  <c r="B25" i="5"/>
  <c r="B28" i="5"/>
  <c r="K4" i="5" l="1"/>
  <c r="K3" i="5" l="1"/>
  <c r="J4" i="5" l="1"/>
  <c r="J3" i="5"/>
  <c r="E4" i="5"/>
  <c r="I4" i="5"/>
  <c r="H4" i="5"/>
  <c r="G4" i="5"/>
  <c r="D4" i="5"/>
  <c r="C4" i="5"/>
  <c r="B4" i="5"/>
  <c r="B8" i="1"/>
  <c r="B51" i="2" l="1"/>
  <c r="F62" i="1" l="1"/>
  <c r="E62" i="1"/>
  <c r="D62" i="1"/>
  <c r="B62" i="1"/>
  <c r="F61" i="1"/>
  <c r="B61" i="1"/>
  <c r="F60" i="1"/>
  <c r="E60" i="1"/>
  <c r="D60" i="1"/>
  <c r="B60" i="1"/>
  <c r="F59" i="1"/>
  <c r="B59" i="1"/>
  <c r="F55" i="1"/>
  <c r="E55" i="1"/>
  <c r="D55" i="1"/>
  <c r="B55" i="1"/>
  <c r="F52" i="1"/>
  <c r="E52" i="1"/>
  <c r="D52" i="1"/>
  <c r="B52" i="1"/>
  <c r="F51" i="1"/>
  <c r="E51" i="1"/>
  <c r="D51" i="1"/>
  <c r="B51" i="1"/>
  <c r="F50" i="1"/>
  <c r="E50" i="1"/>
  <c r="D50" i="1"/>
  <c r="B50" i="1"/>
  <c r="F49" i="1"/>
  <c r="E49" i="1"/>
  <c r="D49" i="1"/>
  <c r="B49" i="1"/>
  <c r="F48" i="1"/>
  <c r="E48" i="1"/>
  <c r="D48" i="1"/>
  <c r="B48" i="1"/>
  <c r="F47" i="1"/>
  <c r="E47" i="1"/>
  <c r="D47" i="1"/>
  <c r="B47" i="1"/>
  <c r="F46" i="1"/>
  <c r="E46" i="1"/>
  <c r="D46" i="1"/>
  <c r="B46" i="1"/>
  <c r="E45" i="1"/>
  <c r="D45" i="1"/>
  <c r="B45" i="1"/>
  <c r="E44" i="1"/>
  <c r="D44" i="1"/>
  <c r="B44" i="1"/>
  <c r="F43" i="1"/>
  <c r="E43" i="1"/>
  <c r="D43" i="1"/>
  <c r="B43" i="1"/>
  <c r="F42" i="1"/>
  <c r="E42" i="1"/>
  <c r="D42" i="1"/>
  <c r="B42" i="1"/>
  <c r="F41" i="1"/>
  <c r="E41" i="1"/>
  <c r="D41" i="1"/>
  <c r="B41" i="1"/>
  <c r="F40" i="1"/>
  <c r="E40" i="1"/>
  <c r="D40" i="1"/>
  <c r="B40" i="1"/>
  <c r="F39" i="1"/>
  <c r="E39" i="1"/>
  <c r="D39" i="1"/>
  <c r="B39" i="1"/>
  <c r="F38" i="1"/>
  <c r="E38" i="1"/>
  <c r="D38" i="1"/>
  <c r="B38" i="1"/>
  <c r="F37" i="1"/>
  <c r="E37" i="1"/>
  <c r="D37" i="1"/>
  <c r="B37" i="1"/>
  <c r="F36" i="1"/>
  <c r="E36" i="1"/>
  <c r="D36" i="1"/>
  <c r="B36" i="1"/>
  <c r="F35" i="1"/>
  <c r="E35" i="1"/>
  <c r="D35" i="1"/>
  <c r="B35" i="1"/>
  <c r="F34" i="1"/>
  <c r="E34" i="1"/>
  <c r="D34" i="1"/>
  <c r="B34" i="1"/>
  <c r="F33" i="1"/>
  <c r="E33" i="1"/>
  <c r="D33" i="1"/>
  <c r="B33" i="1"/>
  <c r="F32" i="1"/>
  <c r="E32" i="1"/>
  <c r="D32" i="1"/>
  <c r="B32" i="1"/>
  <c r="F31" i="1"/>
  <c r="E31" i="1"/>
  <c r="D31" i="1"/>
  <c r="B31" i="1"/>
  <c r="F30" i="1"/>
  <c r="E30" i="1"/>
  <c r="D30" i="1"/>
  <c r="B30" i="1"/>
  <c r="F29" i="1"/>
  <c r="E29" i="1"/>
  <c r="D29" i="1"/>
  <c r="B29" i="1"/>
  <c r="F28" i="1"/>
  <c r="E28" i="1"/>
  <c r="D28" i="1"/>
  <c r="B28" i="1"/>
  <c r="F27" i="1"/>
  <c r="E27" i="1"/>
  <c r="D27" i="1"/>
  <c r="B27" i="1"/>
  <c r="F26" i="1"/>
  <c r="E26" i="1"/>
  <c r="D26" i="1"/>
  <c r="B26" i="1"/>
  <c r="F25" i="1"/>
  <c r="E25" i="1"/>
  <c r="D25" i="1"/>
  <c r="B25" i="1"/>
  <c r="F24" i="1"/>
  <c r="E24" i="1"/>
  <c r="D24" i="1"/>
  <c r="B24" i="1"/>
  <c r="F23" i="1"/>
  <c r="E23" i="1"/>
  <c r="D23" i="1"/>
  <c r="B23" i="1"/>
  <c r="F22" i="1"/>
  <c r="E22" i="1"/>
  <c r="D22" i="1"/>
  <c r="B22" i="1"/>
  <c r="F21" i="1"/>
  <c r="E21" i="1"/>
  <c r="D21" i="1"/>
  <c r="B21" i="1"/>
  <c r="F20" i="1"/>
  <c r="E20" i="1"/>
  <c r="D20" i="1"/>
  <c r="B20" i="1"/>
  <c r="F19" i="1"/>
  <c r="E19" i="1"/>
  <c r="D19" i="1"/>
  <c r="B19" i="1"/>
  <c r="F18" i="1"/>
  <c r="E18" i="1"/>
  <c r="D18" i="1"/>
  <c r="B18" i="1"/>
  <c r="F17" i="1"/>
  <c r="E17" i="1"/>
  <c r="D17" i="1"/>
  <c r="B17" i="1"/>
  <c r="F16" i="1"/>
  <c r="E16" i="1"/>
  <c r="D16" i="1"/>
  <c r="B16" i="1"/>
  <c r="F15" i="1"/>
  <c r="E15" i="1"/>
  <c r="D15" i="1"/>
  <c r="B15" i="1"/>
  <c r="F14" i="1"/>
  <c r="E14" i="1"/>
  <c r="D14" i="1"/>
  <c r="B14" i="1"/>
  <c r="F13" i="1"/>
  <c r="E13" i="1"/>
  <c r="D13" i="1"/>
  <c r="B13" i="1"/>
  <c r="F12" i="1"/>
  <c r="E12" i="1"/>
  <c r="D12" i="1"/>
  <c r="B12" i="1"/>
  <c r="F11" i="1"/>
  <c r="E11" i="1"/>
  <c r="D11" i="1"/>
  <c r="B11" i="1"/>
  <c r="F10" i="1"/>
  <c r="E10" i="1"/>
  <c r="D10" i="1"/>
  <c r="B10" i="1"/>
  <c r="F9" i="1"/>
  <c r="E9" i="1"/>
  <c r="D9" i="1"/>
  <c r="B9" i="1"/>
  <c r="F8" i="1"/>
  <c r="E8" i="1"/>
  <c r="D8" i="1"/>
  <c r="F7" i="1"/>
  <c r="E7" i="1"/>
  <c r="D7" i="1"/>
  <c r="B7" i="1"/>
  <c r="D51" i="2"/>
  <c r="C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K13" i="5" s="1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G3" i="5" s="1"/>
  <c r="D3" i="5" l="1"/>
  <c r="K7" i="5"/>
  <c r="K8" i="5"/>
  <c r="B17" i="5"/>
  <c r="B16" i="5"/>
  <c r="B38" i="5"/>
  <c r="B37" i="5"/>
  <c r="B14" i="5"/>
  <c r="B13" i="5"/>
  <c r="B35" i="5"/>
  <c r="B34" i="5"/>
  <c r="B11" i="5"/>
  <c r="B10" i="5"/>
  <c r="K10" i="5"/>
  <c r="K11" i="5"/>
  <c r="B23" i="5"/>
  <c r="B22" i="5"/>
  <c r="C3" i="5"/>
  <c r="B8" i="5"/>
  <c r="B7" i="5"/>
  <c r="F3" i="5"/>
  <c r="B41" i="5"/>
  <c r="K17" i="5"/>
  <c r="K16" i="5"/>
  <c r="K23" i="5"/>
  <c r="K22" i="5"/>
  <c r="B20" i="5"/>
  <c r="B19" i="5"/>
  <c r="K14" i="5"/>
  <c r="K19" i="5"/>
  <c r="K20" i="5"/>
  <c r="B3" i="5"/>
  <c r="B40" i="5"/>
  <c r="H3" i="5"/>
  <c r="I3" i="5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</calcChain>
</file>

<file path=xl/comments1.xml><?xml version="1.0" encoding="utf-8"?>
<comments xmlns="http://schemas.openxmlformats.org/spreadsheetml/2006/main">
  <authors>
    <author>Anna</author>
  </authors>
  <commentList>
    <comment ref="H47" authorId="0" shapeId="0">
      <text>
        <r>
          <rPr>
            <b/>
            <sz val="9"/>
            <color rgb="FF000000"/>
            <rFont val="Tahoma"/>
            <family val="2"/>
            <charset val="204"/>
          </rPr>
          <t>Anna: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маломерный, полномерный - рыночные цены; остальные - заготовительные</t>
        </r>
      </text>
    </comment>
    <comment ref="H48" authorId="0" shapeId="0">
      <text>
        <r>
          <rPr>
            <b/>
            <sz val="9"/>
            <color rgb="FF000000"/>
            <rFont val="Tahoma"/>
            <family val="2"/>
            <charset val="204"/>
          </rPr>
          <t>Anna: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рыночные цены, заготовительные цены для всех видов - 10 руб.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рыночные цены. Заготовительные - строевой 11,48; печной 10,51; сырец 8,4</t>
        </r>
      </text>
    </comment>
    <comment ref="H61" authorId="0" shapeId="0">
      <text>
        <r>
          <rPr>
            <b/>
            <sz val="9"/>
            <color rgb="FF000000"/>
            <rFont val="Tahoma"/>
            <family val="2"/>
            <charset val="204"/>
          </rPr>
          <t>Anna: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данные по конкретным видам кирпича отсутствуют</t>
        </r>
      </text>
    </comment>
    <comment ref="H62" authorId="0" shapeId="0">
      <text>
        <r>
          <rPr>
            <b/>
            <sz val="9"/>
            <color rgb="FF000000"/>
            <rFont val="Tahoma"/>
            <family val="2"/>
            <charset val="204"/>
          </rPr>
          <t>Anna: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данные по конкретным видам кирпича отсутствуют</t>
        </r>
      </text>
    </comment>
  </commentList>
</comments>
</file>

<file path=xl/sharedStrings.xml><?xml version="1.0" encoding="utf-8"?>
<sst xmlns="http://schemas.openxmlformats.org/spreadsheetml/2006/main" count="244" uniqueCount="145">
  <si>
    <t>Источники данных:</t>
  </si>
  <si>
    <t>в кредитных рублях</t>
  </si>
  <si>
    <t>в золотых рублях</t>
  </si>
  <si>
    <t>Год</t>
  </si>
  <si>
    <t>Отношение столбца В к столбцу С</t>
  </si>
  <si>
    <t>маломерный 13-15; полномерный 13-14; сырец - 6,6; печной, строевой, железняк - 11,3</t>
  </si>
  <si>
    <t>алый - 14; железняк - 15; печной - 13; строевой - 14-15</t>
  </si>
  <si>
    <t>строевой 14-15; печной - 13-13,5</t>
  </si>
  <si>
    <t>нет данных</t>
  </si>
  <si>
    <t>Средняя цена за кв.саж., рублей</t>
  </si>
  <si>
    <t>Средняя площадь арендованных участков, кв.сажень</t>
  </si>
  <si>
    <t>Общая площадь арендованных участков, кв.саж.</t>
  </si>
  <si>
    <t>Длительность аренды, лет</t>
  </si>
  <si>
    <t>Количество арендаторов</t>
  </si>
  <si>
    <t>Цена кирпича за тыс.штук, рублей (с 1894 г.)</t>
  </si>
  <si>
    <t>Земельная аренда участков на выгоне Нижнего Новгорода под кирпичные заводы, 1859-1914</t>
  </si>
  <si>
    <t>Земельная аренда участков на выгоне Нижнего Новгорода под лесные склады, 1870-1910</t>
  </si>
  <si>
    <t>Примечания:</t>
  </si>
  <si>
    <t>столбец В "Средняя цена…" дан в постоянных ценах, рассчитаных по данным вкладки "Курс рубля" из столбца Е. Текущие цены можно увидеть в строке формул, нажав на любую из ячеек.</t>
  </si>
  <si>
    <t>в столбце Е "Длительность…" в строке формул указано одно число, т.к. все участки арендовались в конкретном году один и тот же срок.</t>
  </si>
  <si>
    <t>ЦАНО. Ф.30. Оп.35. Д.1195; ЦАНО.Ф.27. Оп.638. Д. 3853.</t>
  </si>
  <si>
    <t>ЦАНО. Ф.30. Оп.35. Д.1195; ЦАНО. Ф.342. Оп.1964. Д.10; ЦАНО.Ф.27. Оп.638. Д. 3853.</t>
  </si>
  <si>
    <t>ЦАНО. Ф.30. Оп.35. Д.11954 ЦАНО.Ф.27. Оп.638. Д. 3853.</t>
  </si>
  <si>
    <t>ЦАНО.Ф.27.Оп.638.Д. 3853;ЦАНО. Ф.30. Оп.35. Д.756;  ЦАНО. Ф.30. Оп.35. Д.840; ЦАНО. Ф.30. Оп.35. Д.1195</t>
  </si>
  <si>
    <t>ЦАНО.Ф.30.Оп.35.Д. 653; ЦАНО. Ф.30. Оп.35. Д.756;  ЦАНО. Ф.30. Оп.35. Д.840; ЦАНО. Ф.30. Оп.35. Д.1195; ЦАНО.Ф.27. Оп.638. Д. 3853.</t>
  </si>
  <si>
    <t>ЦАНО.Ф.30.Оп.35.Д. 584; ЦАНО.Ф.30.Оп.35.Д. 653; ЦАНО. Ф.30. Оп.35. Д.756;  ЦАНО. Ф.30. Оп.35. Д.840; ЦАНО. Ф.30. Оп.35. Д.1195; ЦАНО.Ф.27. Оп.638. Д. 3853</t>
  </si>
  <si>
    <t>ЦАНО.Ф.30.Оп.35.Д. 584; ЦАНО.Ф.30.Оп.35.Д. 653; ЦАНО. Ф.30. Оп.35. Д.756;  ЦАНО. Ф.30. Оп.35. Д.840; ЦАНО. Ф.30. Оп.35. Д.1195; ЦАНО.Ф.27. Оп.638. Д. 3854</t>
  </si>
  <si>
    <t>ЦАНО.Ф.30.Оп.35.Д. 584; ЦАНО.Ф.30.Оп.35.Д. 653; ЦАНО. Ф.30. Оп.35. Д.756;  ЦАНО. Ф.30. Оп.35. Д.840; ЦАНО. Ф.30. Оп.35. Д.1195; ЦАНО.Ф.27. Оп.638. Д. 3855</t>
  </si>
  <si>
    <t>ЦАНО.Ф.30.Оп.35.Д. 584; ЦАНО.Ф.30.Оп.35.Д. 653; ЦАНО. Ф.30. Оп.35. Д.756;  ЦАНО. Ф.30. Оп.35. Д.840; ЦАНО. Ф.30. Оп.35. Д.1195; ЦАНО.Ф.27. Оп.638. Д. 3856</t>
  </si>
  <si>
    <t>ЦАНО.Ф.30.Оп.35.Д. 584; ЦАНО.Ф.30.Оп.35.Д. 653; ЦАНО. Ф.30. Оп.35. Д.756;  ЦАНО. Ф.30. Оп.35. Д.840; ЦАНО. Ф.30. Оп.35. Д.1195; ЦАНО.Ф.27. Оп.638. Д. 3857</t>
  </si>
  <si>
    <t>ЦАНО.Ф.30.Оп.35.Д. 400; ЦАНО.Ф.30.Оп.35.Д. 584; ЦАНО.Ф.30.Оп.35.Д. 653; ЦАНО. Ф.30. Оп.35. Д.756;  ЦАНО. Ф.30. Оп.35. Д.840; ЦАНО. Ф.30. Оп.35. Д.1195; ЦАНО.Ф.27. Оп.638. Д. 3858</t>
  </si>
  <si>
    <t>ЦАНО.Ф.30.Оп.35.Д. 400; ЦАНО.Ф.30.Оп.35.Д. 584; ЦАНО.Ф.30.Оп.35.Д. 653; ЦАНО. Ф.30. Оп.35. Д.756;  ЦАНО. Ф.30. Оп.35. Д.840; ЦАНО. Ф.30. Оп.35. Д.1195; ЦАНО.Ф.27. Оп.638. Д. 3859</t>
  </si>
  <si>
    <t>ЦАНО.Ф.30.Оп.35.Д. 400; ЦАНО.Ф.30.Оп.35.Д. 584; ЦАНО.Ф.30.Оп.35.Д. 835; ЦАНО. Ф.30. Оп.35. Д.1195; ЦАНО. Ф.30. Оп.35. Д.756;  ЦАНО. Ф.30. Оп.35. Д.840;</t>
  </si>
  <si>
    <t>ЦАНО.Ф.30.Оп.35.Д. 584; ЦАНО.Ф.30.Оп.35.Д. 835; ЦАНО. Ф.30. Оп.35. Д.1195; ЦАНО. Ф.30. Оп.35. Д.756;  ЦАНО. Ф.30. Оп.35. Д.840;</t>
  </si>
  <si>
    <t>ЦАНО.Ф.30.Оп.35.Д. 584; ЦАНО. Ф.30. Оп.35. Д.840; ЦАНО. Ф.30. Оп.35. Д. 843; ЦАНО. Ф.30. Оп.35. Д.1195;</t>
  </si>
  <si>
    <t>ЦАНО. Ф.30. Оп.35. Д.840; ЦАНО. Ф.30. Оп.35. Д. 843;  ЦАНО. Ф.30. Оп.35. Д.1195;</t>
  </si>
  <si>
    <t>ЦАНО. Ф.30. Оп.35. Д.756; ЦАНО. Ф.30. Оп.35. Д.840; ЦАНО. Ф.30. Оп.35. Д.1195; ЦАНО. Ф.30. Оп.35. Д.3049; ЦАНО.Ф.27.Оп.638.Д. 3853. Протоколы НГД. 1893 г., 18 июня. Статья 132.</t>
  </si>
  <si>
    <t>ЦАНО. Ф.30. Оп.35. Д.840; ЦАНО. Ф.30. Оп.35. Д.1195; ЦАНО. Ф.30. Оп.35. Д.3049. Протоколы НГД. 1893 г., 18 июня. Статья 132.</t>
  </si>
  <si>
    <t>Протоколы НГД - Протоколы заседаний Нижегородской городской думы</t>
  </si>
  <si>
    <t>ЦАНО. Ф.30. Оп.35. Д.1195; ЦАНО. Ф.30. Оп.35. Д.3049. Протоколы НГД. 1893 г., 18 июня. Статья 132.</t>
  </si>
  <si>
    <t>ЦАНО. Ф.30. Оп.35. Д.1195; ЦАНО. Ф.30. Оп. 35. Д.2560; ЦАНО. Ф.30. Оп.35. Д.3049. Протоколы НГД. 1893 г., 18 июня. Статья 132.</t>
  </si>
  <si>
    <t>ЦАНО. Ф.30. Оп.35. Д.3049; ЦАНО. Ф.30. Оп.35. Д.1285; ЦАНО. Ф.30. Оп.35. Д.3049. Протоколы НГД. 1893 г., 18 июня. Статья 132.</t>
  </si>
  <si>
    <t>ЦАНО. Ф.30. Оп.35. Д.3049; ЦАНО. Ф.30. Оп.35. Д.1285. Протоколы НГД. 1893 г., 18 июня. Статья 132.</t>
  </si>
  <si>
    <t>ЦАНО. Ф30. Оп35а. Д7642. Протоколы НГД. 1893 г., 18 июня. Статья 132.</t>
  </si>
  <si>
    <t>ЦАНО. Ф.30. Оп.35. Д.5102; ЦАНО. Ф30. Оп35а. Д7642. Протоколы НГД. 1893 г., 18 июня. Статья 132.</t>
  </si>
  <si>
    <t>ЦАНО. Ф.30. Оп.35. Д.5295; ЦАНО. Ф30. Оп35а. Д7642. Протоколы НГД. 1893 г., 18 июня. Статья 132.</t>
  </si>
  <si>
    <t>ЦАНО. Ф.30. Оп.35. Д.5295; ЦАНО. Ф30. Оп35а. Д7642.</t>
  </si>
  <si>
    <t>ЦАНО. Ф.30. Оп.35. Д.5295; ЦАНО. Ф.30. Оп.35а. Д. 7048; ЦАНО. Ф.30. Оп.35а. Д. 7081; ЦАНО. Ф30. Оп35а. Д7642.</t>
  </si>
  <si>
    <t>ЦАНО. Ф.30. Оп.35. Д.7346.</t>
  </si>
  <si>
    <t>ЦАНО. Ф.30. Оп.35а. Д.7630.</t>
  </si>
  <si>
    <t>Протоколы НГД. 1904 г., 18 июня. Статья 152.</t>
  </si>
  <si>
    <t>Протоколы НГД. 1907 г., 15 июня. Статья 201.</t>
  </si>
  <si>
    <t>Протоколы НГД. 1913 г., 8 февраля. Статья 42.</t>
  </si>
  <si>
    <t>Протоколы НГД. 1912 г., 26 июня. Статья 245; Протоколы НГД. 1913 г., 1 марта. Статья 83.</t>
  </si>
  <si>
    <t>Протоколы НГД. 1913 г., 8 февраля. Статья 42; Протоколы НГД. 1914 г., 8 марта. Статья 72; Протоколы НГД. 1914 г., 8 февраля. Статья 127.</t>
  </si>
  <si>
    <t xml:space="preserve"> Протоколы НГД. 1914 г., 25 апреля. Статья 142; Протоколы НГД. 1914 г., 7 ноября. Статья 326.</t>
  </si>
  <si>
    <t>Протоколы НГД - Протоколы заседаний Нижегородской городской думы.</t>
  </si>
  <si>
    <t>Цена аренды исходя из тыс. штук выработанного кирпича, рублей (с 1901 г.)</t>
  </si>
  <si>
    <t>1870-1882</t>
  </si>
  <si>
    <t xml:space="preserve">ЦАНО. Ф.27. Оп.638. Д.3853; ЦАНО. Ф.30. Оп.35. Д.757; ЦАНО. Ф.30. Оп.35. Д.1195. </t>
  </si>
  <si>
    <t>1889-1891</t>
  </si>
  <si>
    <t xml:space="preserve"> Протоколы НГД. 1890 г., 2 ноября. Статья 293.</t>
  </si>
  <si>
    <t>1894-1896</t>
  </si>
  <si>
    <t xml:space="preserve"> Протоколы НГД. 1893 г., 2 декабря. Статья 319; Протоколы НГД. 1894 г., 17 ноября. Статья 374.</t>
  </si>
  <si>
    <t xml:space="preserve"> Протоколы НГД. 1896 г., 28 ноября. Статья 264; Протоколы НГД. 1899 г., 12 марта. Статья 64.</t>
  </si>
  <si>
    <t xml:space="preserve"> Протоколы НГД. 1896 г., 28 ноября. Статья 264;Протоколы НГД. 1897 г., 29 мая. Статья 152; Протоколы НГД. 1899 г., 12 марта. Статья 64. </t>
  </si>
  <si>
    <t xml:space="preserve"> Протоколы НГД. 1896 г., 28 ноября. Статья 264; Протоколы НГД. 1897 г., 29 мая. Статья 152; Протоколы НГД. 1899 г., 6 сентября. Статья 270; ЦАНО. Ф.30. Оп.35. Д.7346.</t>
  </si>
  <si>
    <t>Протоколы НГД. 1899 г., 6 сентября. Статья 270; Протоколы НГД. 1901 г., 20 сентября. Статья 263. ЦАНО. Ф.30. Оп.35. Д.7346.</t>
  </si>
  <si>
    <t xml:space="preserve">Протоколы НГД. 1899 г., 6 сентября. Статья 270; Протоколы НГД. 1901 г., 20 сентября. Статья 263; Протоколы НГД. 1902 г., 25 апреля. Статья 105; ЦАНО. Ф.30. Оп.35. Д.7346; ЦАНО. Ф.30. Оп.35а. Д.7630. </t>
  </si>
  <si>
    <t xml:space="preserve">Протоколы НГД. 1899 г., 6 сентября. Статья 270; Протоколы НГД. 1901 г., 20 сентября. Статья 263; Протоколы НГД. 1902 г., 25 апреля. Статья 105; Протоколы НГД. 1902 г., 25 апреля. Статья 105; ЦАНО. Ф.30. Оп.35. Д.7346; ЦАНО. Ф.30. Оп.35а. Д.7630. </t>
  </si>
  <si>
    <t>Протоколы НГД. 1903 г., 23 октября. Статья 326.</t>
  </si>
  <si>
    <t xml:space="preserve">Протоколы НГД. 1902 г., 25 апреля. Статья 105; Протоколы НГД. 1903 г., 23 октября. Статья 326; ЦАНО. Ф.30. Оп.35. Д.7346; ЦАНО. Ф.30. Оп.35а. Д.7630. </t>
  </si>
  <si>
    <t xml:space="preserve">Протоколы НГД. 1901 г., 20 сентября. Статья 263; Протоколы НГД. 1902 г., 25 апреля. Статья 105; Протоколы НГД. 1903 г., 23 октября. Статья 326; ЦАНО. Ф.30. Оп.35. Д.7346; ЦАНО. Ф.30. Оп.35а. Д.7630. </t>
  </si>
  <si>
    <t xml:space="preserve">Протоколы НГД. 1899 г., 6 сентября. Статья 270; Протоколы НГД. 1901 г., 20 сентября. Статья 263; Протоколы НГД. 1902 г., 25 апреля. Статья 105; Протоколы НГД. 1903 г., 23 октября. Статья 326; ЦАНО. Ф.30. Оп.35. Д.7346; ЦАНО. Ф.30. Оп.35а. Д.7630. </t>
  </si>
  <si>
    <t xml:space="preserve">Протоколы НГД. 1899 г., 6 сентября. Статья 270; Протоколы НГД. 1901 г., 20 сентября. Статья 263; Протоколы НГД. 1902 г., 25 апреля. Статья 105; Протоколы НГД. 1902 г., 25 апреля. Статья 105; Протоколы НГД. 1903 г., 23 октября. Статья 326; ЦАНО. Ф.30. Оп.35. Д.7346; ЦАНО. Ф.30. Оп.35а. Д.7630. </t>
  </si>
  <si>
    <t>Средний абсолютный прирост</t>
  </si>
  <si>
    <t>Средний темп рост</t>
  </si>
  <si>
    <t>средняя площадь, кв.саж.</t>
  </si>
  <si>
    <t>общая площадь, кв.саж.</t>
  </si>
  <si>
    <t>Аренда под кирпичные заводы (1859-1914)</t>
  </si>
  <si>
    <t>количество арендаторов</t>
  </si>
  <si>
    <t>длительность аренды</t>
  </si>
  <si>
    <t>цена</t>
  </si>
  <si>
    <t>1859-1893</t>
  </si>
  <si>
    <t>1894-1907</t>
  </si>
  <si>
    <t>1908-1914</t>
  </si>
  <si>
    <t>ср.площадь</t>
  </si>
  <si>
    <t>1859-1882</t>
  </si>
  <si>
    <t>1883-1895</t>
  </si>
  <si>
    <t>1896-1914</t>
  </si>
  <si>
    <t>арендаторы</t>
  </si>
  <si>
    <t>1859-1881</t>
  </si>
  <si>
    <t>1882-1893</t>
  </si>
  <si>
    <t>1894-1914</t>
  </si>
  <si>
    <t>длительн.</t>
  </si>
  <si>
    <t>1859-1876</t>
  </si>
  <si>
    <t>1877-1900</t>
  </si>
  <si>
    <t>1901-1914</t>
  </si>
  <si>
    <t>1883-1899</t>
  </si>
  <si>
    <t>1900-1910</t>
  </si>
  <si>
    <t>1870-1899</t>
  </si>
  <si>
    <t>1900-1908</t>
  </si>
  <si>
    <t>1909-1910</t>
  </si>
  <si>
    <t>1883-1900</t>
  </si>
  <si>
    <t>1901-1910</t>
  </si>
  <si>
    <t>ЦАНО - Центральный архив Нижегородской области. Ф.30. Нижегородская городская управа</t>
  </si>
  <si>
    <t>Аренда под кирпичные заводы, средние по периодам</t>
  </si>
  <si>
    <t>Аренда под лесные дворы, средние по периодам</t>
  </si>
  <si>
    <t>Аренда под лесные дворы (1870-1910)</t>
  </si>
  <si>
    <t>#Н/Д - нет данных, обозначения потребовались для построения графиков на двух осях</t>
  </si>
  <si>
    <t>Brick factory sources</t>
  </si>
  <si>
    <t>Источник - source</t>
  </si>
  <si>
    <t>Примечания - footnote</t>
  </si>
  <si>
    <t>Exchange rate of credit rubles to gold</t>
  </si>
  <si>
    <t>In credit rubles</t>
  </si>
  <si>
    <t>In gold rubles</t>
  </si>
  <si>
    <t>Ratio, Col. B/ Col. C</t>
  </si>
  <si>
    <t>Estimated exchange rate of the credit ruble to gold</t>
  </si>
  <si>
    <t>Timber-yard sources</t>
  </si>
  <si>
    <t>Average area of leased lands, square sazhens</t>
  </si>
  <si>
    <t>Overall area of leased lands, sq. sazhens</t>
  </si>
  <si>
    <t>Number of leases</t>
  </si>
  <si>
    <t>Price of bricks, in rubles per 1,000 (c.1894)</t>
  </si>
  <si>
    <t>Lease price  corresponding to the production of 1,000 bricks, in rubles</t>
  </si>
  <si>
    <t>Lease of pasture-land parcels connected with brick factories, Nizhny Novgorod 1859-1914</t>
  </si>
  <si>
    <t>Примечания (footnotes):</t>
  </si>
  <si>
    <t>Column B, "average price", given in constant prices,  calculated according to the "Ruble exchange rate" worksheet, Column E. The currrent prices of Column C here can be confirmed by pressing on the forumla line of each cell.</t>
  </si>
  <si>
    <t>Average lease price, in credit rubles per square sazhen*</t>
  </si>
  <si>
    <t>Average term of lease, in years</t>
  </si>
  <si>
    <t>Year</t>
  </si>
  <si>
    <t>Average lease price, in gold  rubles per square sazhen *</t>
  </si>
  <si>
    <t>Для столбцов В и С "Индекс оптовых цен С.Боброва" использован Раздел "Цены и индексы цен", а в нем Таблица "Индексы цен за 1885-1914"</t>
  </si>
  <si>
    <t xml:space="preserve">Для столбца F "Курс кредитного рубля к золотому" использован Раздел "Внешняя торговля", а в нем Таблица "Ввоз и вывоз золота и серебра в монете и слитках. 1802-1907" </t>
  </si>
  <si>
    <t>Расчет.данные курса кредитного рубля к золотому, копеек</t>
  </si>
  <si>
    <t>Курс кредитного рубля к золотому, копеек</t>
  </si>
  <si>
    <t>Индекс оптовых цен С.Боброва, данные с 1887 г. Приводится по: Струмилин С.Г. Очерки экономической истории России. М. : Соцэкгиз, 1960. С.115.</t>
  </si>
  <si>
    <t xml:space="preserve">Динамика экономического и социального развития России в XIX – начале XX вв. Тематический электронный ресурс / Кафедра исторической информатики исторического факультета МГУ им. М.В. Ломоносова. URL: http://hist.msu.ru/Dynamics/ (дата просмотра: 13.02.2025). </t>
  </si>
  <si>
    <t>Lease of pasture-land parcels connected with timber yards, Nizhny Novgorod 1870-1910</t>
  </si>
  <si>
    <t>Столбец В "Средняя цена…" дан в постоянных ценах, рассчитаных по данным вкладки "Курс рубля" из столбца Е. Текущие цены можно увидеть в строке формул, нажав на любую из ячеек.</t>
  </si>
  <si>
    <t>* (Sq. sazhen = 4.5522 square meters)</t>
  </si>
  <si>
    <t>Index of wholesale prices, S. Bobrov, data from 1887 on; c.f. Strumilin S.G. Ocherki economicheskoi istorii Rossii. Moscow : Socekgis, 1960. P.115.</t>
  </si>
  <si>
    <t xml:space="preserve">Для столбца E "Расчтеный курс кредитного рубля к золотому" - курс расчитан относительно 1899 года, последний год, когда известен прямой курс кредитного рубля к золотому. Эти данные приняты для перевода в постоянные цены с 1900 г. расчетная формула приведена в каждой ячейке столбца. </t>
  </si>
  <si>
    <t>в столбцах С и D "Средняя площадь…" и "Общая площадь…" можно посмотреть вариацию размеров участков, арендованных в конкретном году, нажав на любую из ячеек. 1 квадратная сажень= 4,5522 м.кв.</t>
  </si>
  <si>
    <t xml:space="preserve"> Data gathered and supplied by Anna Akasheva, Lobachevsky University (annakasheva@yandex.ru)</t>
  </si>
  <si>
    <t>В столбцах D и E "Средняя площадь…" и "Общая площадь…" можно посмотреть вариацию размеров участков, арендованных в конкретном году, нажав на любую из ячеек. 1 квадратная сажень= 4,5522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</si>
</sst>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2"/>
      <color theme="1"/>
      <name val="Calibri"/>
      <family val="2"/>
      <scheme val="minor"/>
    </font>
    <font>
      <sz val="12"/>
      <color rgb="FF00B0F0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3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/>
    <xf numFmtId="2" fontId="3" fillId="3" borderId="1" xfId="0" applyNumberFormat="1" applyFont="1" applyFill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2" fontId="10" fillId="0" borderId="0" xfId="0" applyNumberFormat="1" applyFont="1"/>
    <xf numFmtId="0" fontId="4" fillId="0" borderId="0" xfId="0" applyFont="1"/>
    <xf numFmtId="1" fontId="4" fillId="0" borderId="0" xfId="1" applyNumberFormat="1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2" fontId="10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1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10" fillId="0" borderId="0" xfId="0" applyFont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64" fontId="10" fillId="0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Динамика цен</a:t>
            </a:r>
            <a:r>
              <a:rPr lang="ru-RU" b="1" baseline="0"/>
              <a:t> на аренду земли в Нижнем Новгороде  </a:t>
            </a:r>
          </a:p>
          <a:p>
            <a:pPr>
              <a:defRPr b="1"/>
            </a:pPr>
            <a:r>
              <a:rPr lang="ru-RU" b="1" baseline="0"/>
              <a:t>под кирпичные заводы и лесные дворы </a:t>
            </a:r>
            <a:r>
              <a:rPr lang="ru-RU" sz="1400" b="1" i="0" u="none" strike="noStrike" baseline="0">
                <a:effectLst/>
              </a:rPr>
              <a:t>во второй половине </a:t>
            </a:r>
            <a:r>
              <a:rPr lang="en-US" sz="1400" b="1" i="0" u="none" strike="noStrike" baseline="0">
                <a:effectLst/>
              </a:rPr>
              <a:t>XIX - </a:t>
            </a:r>
            <a:r>
              <a:rPr lang="ru-RU" sz="1400" b="1" i="0" u="none" strike="noStrike" baseline="0">
                <a:effectLst/>
              </a:rPr>
              <a:t>начале </a:t>
            </a:r>
            <a:r>
              <a:rPr lang="en-US" sz="1400" b="1" i="0" u="none" strike="noStrike" baseline="0">
                <a:effectLst/>
              </a:rPr>
              <a:t>XX</a:t>
            </a:r>
            <a:r>
              <a:rPr lang="ru-RU" sz="1400" b="1" i="0" u="none" strike="noStrike" baseline="0">
                <a:effectLst/>
              </a:rPr>
              <a:t> в.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5725990052348428E-2"/>
          <c:y val="0.18608358917036844"/>
          <c:w val="0.70344528066588363"/>
          <c:h val="0.73179308233652318"/>
        </c:manualLayout>
      </c:layout>
      <c:lineChart>
        <c:grouping val="standard"/>
        <c:varyColors val="0"/>
        <c:ser>
          <c:idx val="0"/>
          <c:order val="0"/>
          <c:tx>
            <c:v>кирпичные заводы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'Nizhny Novgorod land leases'!$A$7:$A$62</c:f>
              <c:numCache>
                <c:formatCode>General</c:formatCode>
                <c:ptCount val="56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1884</c:v>
                </c:pt>
                <c:pt idx="26">
                  <c:v>1885</c:v>
                </c:pt>
                <c:pt idx="27">
                  <c:v>1886</c:v>
                </c:pt>
                <c:pt idx="28">
                  <c:v>1887</c:v>
                </c:pt>
                <c:pt idx="29">
                  <c:v>1888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1892</c:v>
                </c:pt>
                <c:pt idx="34">
                  <c:v>1893</c:v>
                </c:pt>
                <c:pt idx="35">
                  <c:v>1894</c:v>
                </c:pt>
                <c:pt idx="36">
                  <c:v>1895</c:v>
                </c:pt>
                <c:pt idx="37">
                  <c:v>1896</c:v>
                </c:pt>
                <c:pt idx="38">
                  <c:v>1897</c:v>
                </c:pt>
                <c:pt idx="39">
                  <c:v>1898</c:v>
                </c:pt>
                <c:pt idx="40">
                  <c:v>1899</c:v>
                </c:pt>
                <c:pt idx="41">
                  <c:v>1900</c:v>
                </c:pt>
                <c:pt idx="42">
                  <c:v>1901</c:v>
                </c:pt>
                <c:pt idx="43">
                  <c:v>1902</c:v>
                </c:pt>
                <c:pt idx="44">
                  <c:v>1903</c:v>
                </c:pt>
                <c:pt idx="45">
                  <c:v>1904</c:v>
                </c:pt>
                <c:pt idx="46">
                  <c:v>1905</c:v>
                </c:pt>
                <c:pt idx="47">
                  <c:v>1906</c:v>
                </c:pt>
                <c:pt idx="48">
                  <c:v>1907</c:v>
                </c:pt>
                <c:pt idx="49">
                  <c:v>1908</c:v>
                </c:pt>
                <c:pt idx="50">
                  <c:v>1909</c:v>
                </c:pt>
                <c:pt idx="51">
                  <c:v>1910</c:v>
                </c:pt>
                <c:pt idx="52">
                  <c:v>1911</c:v>
                </c:pt>
                <c:pt idx="53">
                  <c:v>1912</c:v>
                </c:pt>
                <c:pt idx="54">
                  <c:v>1913</c:v>
                </c:pt>
                <c:pt idx="55">
                  <c:v>1914</c:v>
                </c:pt>
              </c:numCache>
              <c:extLst xmlns:c15="http://schemas.microsoft.com/office/drawing/2012/chart"/>
            </c:numRef>
          </c:cat>
          <c:val>
            <c:numRef>
              <c:f>'Nizhny Novgorod land leases'!$B$7:$B$62</c:f>
              <c:numCache>
                <c:formatCode>0.00</c:formatCode>
                <c:ptCount val="56"/>
                <c:pt idx="0">
                  <c:v>3.5928143712574849E-2</c:v>
                </c:pt>
                <c:pt idx="1">
                  <c:v>3.1779661016949151E-2</c:v>
                </c:pt>
                <c:pt idx="2">
                  <c:v>3.3821871476888386E-2</c:v>
                </c:pt>
                <c:pt idx="3">
                  <c:v>3.8986354775828465E-2</c:v>
                </c:pt>
                <c:pt idx="4">
                  <c:v>3.3944331296673458E-2</c:v>
                </c:pt>
                <c:pt idx="5">
                  <c:v>5.1746442432082797E-2</c:v>
                </c:pt>
                <c:pt idx="6">
                  <c:v>4.2787286063569692E-2</c:v>
                </c:pt>
                <c:pt idx="7">
                  <c:v>5.1470588235294122E-2</c:v>
                </c:pt>
                <c:pt idx="8">
                  <c:v>3.8588754134509372E-2</c:v>
                </c:pt>
                <c:pt idx="9">
                  <c:v>4.845446950710109E-2</c:v>
                </c:pt>
                <c:pt idx="10">
                  <c:v>4.4876589379207181E-2</c:v>
                </c:pt>
                <c:pt idx="11">
                  <c:v>4.2471042471042476E-2</c:v>
                </c:pt>
                <c:pt idx="12">
                  <c:v>4.1731872717788207E-2</c:v>
                </c:pt>
                <c:pt idx="13">
                  <c:v>4.8309178743961359E-2</c:v>
                </c:pt>
                <c:pt idx="14">
                  <c:v>5.7087462300732444E-2</c:v>
                </c:pt>
                <c:pt idx="15">
                  <c:v>5.4058844381425032E-2</c:v>
                </c:pt>
                <c:pt idx="16">
                  <c:v>5.5944055944055944E-2</c:v>
                </c:pt>
                <c:pt idx="17">
                  <c:v>7.2373862696443345E-2</c:v>
                </c:pt>
                <c:pt idx="18">
                  <c:v>0.10880316518298713</c:v>
                </c:pt>
                <c:pt idx="19">
                  <c:v>0.10526315789473686</c:v>
                </c:pt>
                <c:pt idx="20">
                  <c:v>0.10776545166402536</c:v>
                </c:pt>
                <c:pt idx="21">
                  <c:v>0.11645962732919254</c:v>
                </c:pt>
                <c:pt idx="22">
                  <c:v>0.12176560121765601</c:v>
                </c:pt>
                <c:pt idx="23">
                  <c:v>0.14263074484944532</c:v>
                </c:pt>
                <c:pt idx="24">
                  <c:v>0.13484358144552319</c:v>
                </c:pt>
                <c:pt idx="25">
                  <c:v>0.13144058885383805</c:v>
                </c:pt>
                <c:pt idx="26">
                  <c:v>0.20537124802527648</c:v>
                </c:pt>
                <c:pt idx="27">
                  <c:v>7.4135090609555185E-2</c:v>
                </c:pt>
                <c:pt idx="28">
                  <c:v>8.0789946140035901E-2</c:v>
                </c:pt>
                <c:pt idx="29">
                  <c:v>7.5630252100840331E-2</c:v>
                </c:pt>
                <c:pt idx="30">
                  <c:v>6.8285280728376321E-2</c:v>
                </c:pt>
                <c:pt idx="31">
                  <c:v>6.1983471074380167E-2</c:v>
                </c:pt>
                <c:pt idx="32">
                  <c:v>6.7365269461077848E-2</c:v>
                </c:pt>
                <c:pt idx="33">
                  <c:v>7.1315372424722662E-2</c:v>
                </c:pt>
                <c:pt idx="34">
                  <c:v>6.8912710566615618E-2</c:v>
                </c:pt>
                <c:pt idx="35">
                  <c:v>1.158582089552239</c:v>
                </c:pt>
                <c:pt idx="36">
                  <c:v>0.35555555555555568</c:v>
                </c:pt>
                <c:pt idx="37">
                  <c:v>5.9997000149992499E-2</c:v>
                </c:pt>
                <c:pt idx="38">
                  <c:v>5.9997000149992499E-2</c:v>
                </c:pt>
                <c:pt idx="39">
                  <c:v>1.7819109044547774</c:v>
                </c:pt>
                <c:pt idx="40">
                  <c:v>1.9799010049497525</c:v>
                </c:pt>
                <c:pt idx="41">
                  <c:v>5.9997000149992499E-2</c:v>
                </c:pt>
                <c:pt idx="42">
                  <c:v>1.1024448777561122</c:v>
                </c:pt>
                <c:pt idx="43">
                  <c:v>1.649917504124794</c:v>
                </c:pt>
                <c:pt idx="44">
                  <c:v>1.1500701262272091</c:v>
                </c:pt>
                <c:pt idx="45">
                  <c:v>0.10494752623688157</c:v>
                </c:pt>
                <c:pt idx="48">
                  <c:v>0.10494752623688157</c:v>
                </c:pt>
                <c:pt idx="52">
                  <c:v>0.29985007496251875</c:v>
                </c:pt>
                <c:pt idx="53">
                  <c:v>0.29985007496251875</c:v>
                </c:pt>
                <c:pt idx="54">
                  <c:v>1.6491754122938531</c:v>
                </c:pt>
                <c:pt idx="55">
                  <c:v>0.15313935681470139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0-4097-8477-8F19B251ADFB}"/>
            </c:ext>
          </c:extLst>
        </c:ser>
        <c:ser>
          <c:idx val="1"/>
          <c:order val="1"/>
          <c:tx>
            <c:v>лесные склады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'Nizhny Novgorod land leases'!$A$7:$A$62</c:f>
              <c:numCache>
                <c:formatCode>General</c:formatCode>
                <c:ptCount val="56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1884</c:v>
                </c:pt>
                <c:pt idx="26">
                  <c:v>1885</c:v>
                </c:pt>
                <c:pt idx="27">
                  <c:v>1886</c:v>
                </c:pt>
                <c:pt idx="28">
                  <c:v>1887</c:v>
                </c:pt>
                <c:pt idx="29">
                  <c:v>1888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1892</c:v>
                </c:pt>
                <c:pt idx="34">
                  <c:v>1893</c:v>
                </c:pt>
                <c:pt idx="35">
                  <c:v>1894</c:v>
                </c:pt>
                <c:pt idx="36">
                  <c:v>1895</c:v>
                </c:pt>
                <c:pt idx="37">
                  <c:v>1896</c:v>
                </c:pt>
                <c:pt idx="38">
                  <c:v>1897</c:v>
                </c:pt>
                <c:pt idx="39">
                  <c:v>1898</c:v>
                </c:pt>
                <c:pt idx="40">
                  <c:v>1899</c:v>
                </c:pt>
                <c:pt idx="41">
                  <c:v>1900</c:v>
                </c:pt>
                <c:pt idx="42">
                  <c:v>1901</c:v>
                </c:pt>
                <c:pt idx="43">
                  <c:v>1902</c:v>
                </c:pt>
                <c:pt idx="44">
                  <c:v>1903</c:v>
                </c:pt>
                <c:pt idx="45">
                  <c:v>1904</c:v>
                </c:pt>
                <c:pt idx="46">
                  <c:v>1905</c:v>
                </c:pt>
                <c:pt idx="47">
                  <c:v>1906</c:v>
                </c:pt>
                <c:pt idx="48">
                  <c:v>1907</c:v>
                </c:pt>
                <c:pt idx="49">
                  <c:v>1908</c:v>
                </c:pt>
                <c:pt idx="50">
                  <c:v>1909</c:v>
                </c:pt>
                <c:pt idx="51">
                  <c:v>1910</c:v>
                </c:pt>
                <c:pt idx="52">
                  <c:v>1911</c:v>
                </c:pt>
                <c:pt idx="53">
                  <c:v>1912</c:v>
                </c:pt>
                <c:pt idx="54">
                  <c:v>1913</c:v>
                </c:pt>
                <c:pt idx="55">
                  <c:v>1914</c:v>
                </c:pt>
              </c:numCache>
              <c:extLst xmlns:c15="http://schemas.microsoft.com/office/drawing/2012/chart"/>
            </c:numRef>
          </c:cat>
          <c:val>
            <c:numRef>
              <c:f>лесные_склады!$B$6:$B$55</c:f>
              <c:numCache>
                <c:formatCode>0.0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9.0009000900090022E-2</c:v>
                </c:pt>
                <c:pt idx="12">
                  <c:v>8.2159624413145546E-2</c:v>
                </c:pt>
                <c:pt idx="13">
                  <c:v>8.2256169212690966E-2</c:v>
                </c:pt>
                <c:pt idx="14">
                  <c:v>8.2938388625592427E-2</c:v>
                </c:pt>
                <c:pt idx="15">
                  <c:v>8.0645161290322592E-2</c:v>
                </c:pt>
                <c:pt idx="16">
                  <c:v>8.1585081585081598E-2</c:v>
                </c:pt>
                <c:pt idx="17">
                  <c:v>8.6848635235732025E-2</c:v>
                </c:pt>
                <c:pt idx="18">
                  <c:v>0.10385756676557864</c:v>
                </c:pt>
                <c:pt idx="19">
                  <c:v>0.10835913312693501</c:v>
                </c:pt>
                <c:pt idx="20">
                  <c:v>0.11093502377179082</c:v>
                </c:pt>
                <c:pt idx="21">
                  <c:v>0.10869565217391305</c:v>
                </c:pt>
                <c:pt idx="22">
                  <c:v>0.10654490106544902</c:v>
                </c:pt>
                <c:pt idx="23">
                  <c:v>0.11093502377179082</c:v>
                </c:pt>
                <c:pt idx="24">
                  <c:v>0.42488619119878607</c:v>
                </c:pt>
                <c:pt idx="25">
                  <c:v>0.38567493112947665</c:v>
                </c:pt>
                <c:pt idx="26">
                  <c:v>0.41916167664670667</c:v>
                </c:pt>
                <c:pt idx="27">
                  <c:v>0.44374009508716328</c:v>
                </c:pt>
                <c:pt idx="28">
                  <c:v>0.42879019908116395</c:v>
                </c:pt>
                <c:pt idx="29">
                  <c:v>0.60696517412935325</c:v>
                </c:pt>
                <c:pt idx="30">
                  <c:v>0.60246913580246908</c:v>
                </c:pt>
                <c:pt idx="31">
                  <c:v>0.60996950152492369</c:v>
                </c:pt>
                <c:pt idx="32">
                  <c:v>0.65996700164991762</c:v>
                </c:pt>
                <c:pt idx="33">
                  <c:v>0.68568000171419996</c:v>
                </c:pt>
                <c:pt idx="34">
                  <c:v>0.68568000171419996</c:v>
                </c:pt>
                <c:pt idx="35">
                  <c:v>0.57721139430284851</c:v>
                </c:pt>
                <c:pt idx="36">
                  <c:v>0.73463268365817092</c:v>
                </c:pt>
                <c:pt idx="37">
                  <c:v>0.81334332833583201</c:v>
                </c:pt>
                <c:pt idx="38">
                  <c:v>0.76086956521739135</c:v>
                </c:pt>
                <c:pt idx="39">
                  <c:v>0.86056971514242886</c:v>
                </c:pt>
                <c:pt idx="40">
                  <c:v>0.86056971514242886</c:v>
                </c:pt>
                <c:pt idx="41">
                  <c:v>1.0494752623688153</c:v>
                </c:pt>
                <c:pt idx="42">
                  <c:v>1.0494752623688155</c:v>
                </c:pt>
                <c:pt idx="43">
                  <c:v>1.0494752623688155</c:v>
                </c:pt>
                <c:pt idx="44">
                  <c:v>1.0494752623688155</c:v>
                </c:pt>
                <c:pt idx="45">
                  <c:v>1.0494752623688155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DF20-4097-8477-8F19B251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537360"/>
        <c:axId val="250536976"/>
        <c:extLst/>
      </c:lineChart>
      <c:valAx>
        <c:axId val="250536976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Рублей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37360"/>
        <c:crosses val="autoZero"/>
        <c:crossBetween val="between"/>
      </c:valAx>
      <c:dateAx>
        <c:axId val="25053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36976"/>
        <c:crosses val="autoZero"/>
        <c:auto val="0"/>
        <c:lblOffset val="100"/>
        <c:baseTimeUnit val="days"/>
        <c:majorUnit val="1"/>
        <c:major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/>
              <a:t>Развитие земельной аренды </a:t>
            </a:r>
          </a:p>
          <a:p>
            <a:pPr>
              <a:defRPr sz="1200" b="1"/>
            </a:pPr>
            <a:r>
              <a:rPr lang="ru-RU" sz="1000" b="1"/>
              <a:t>под кирпичные заводы</a:t>
            </a:r>
          </a:p>
          <a:p>
            <a:pPr>
              <a:defRPr sz="1200" b="1"/>
            </a:pPr>
            <a:r>
              <a:rPr lang="ru-RU" sz="1000" b="1"/>
              <a:t> в Нижнем Новгороде </a:t>
            </a:r>
          </a:p>
          <a:p>
            <a:pPr>
              <a:defRPr sz="1200" b="1"/>
            </a:pPr>
            <a:r>
              <a:rPr lang="ru-RU" sz="1000" b="1"/>
              <a:t>во второй половине </a:t>
            </a:r>
            <a:r>
              <a:rPr lang="en-US" sz="1000" b="1"/>
              <a:t>XIX - </a:t>
            </a:r>
            <a:r>
              <a:rPr lang="ru-RU" sz="1000" b="1"/>
              <a:t>начале </a:t>
            </a:r>
            <a:r>
              <a:rPr lang="en-US" sz="1000" b="1"/>
              <a:t>XX </a:t>
            </a:r>
            <a:r>
              <a:rPr lang="ru-RU" sz="1000" b="1"/>
              <a:t>в.</a:t>
            </a:r>
          </a:p>
        </c:rich>
      </c:tx>
      <c:layout>
        <c:manualLayout>
          <c:xMode val="edge"/>
          <c:yMode val="edge"/>
          <c:x val="0.69494536845956445"/>
          <c:y val="9.5238119044649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1034105728026686E-2"/>
          <c:y val="2.5114155251141551E-2"/>
          <c:w val="0.6287324163069643"/>
          <c:h val="0.91507244813576383"/>
        </c:manualLayout>
      </c:layout>
      <c:scatterChart>
        <c:scatterStyle val="smoothMarker"/>
        <c:varyColors val="0"/>
        <c:ser>
          <c:idx val="0"/>
          <c:order val="0"/>
          <c:tx>
            <c:v>длительность аренды, лет</c:v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тренд, длительность</c:name>
            <c:spPr>
              <a:ln w="41275" cap="rnd">
                <a:solidFill>
                  <a:schemeClr val="accent4">
                    <a:lumMod val="60000"/>
                    <a:lumOff val="40000"/>
                  </a:schemeClr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'Nizhny Novgorod land leases'!$A$7:$A$62</c:f>
              <c:numCache>
                <c:formatCode>General</c:formatCode>
                <c:ptCount val="56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1884</c:v>
                </c:pt>
                <c:pt idx="26">
                  <c:v>1885</c:v>
                </c:pt>
                <c:pt idx="27">
                  <c:v>1886</c:v>
                </c:pt>
                <c:pt idx="28">
                  <c:v>1887</c:v>
                </c:pt>
                <c:pt idx="29">
                  <c:v>1888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1892</c:v>
                </c:pt>
                <c:pt idx="34">
                  <c:v>1893</c:v>
                </c:pt>
                <c:pt idx="35">
                  <c:v>1894</c:v>
                </c:pt>
                <c:pt idx="36">
                  <c:v>1895</c:v>
                </c:pt>
                <c:pt idx="37">
                  <c:v>1896</c:v>
                </c:pt>
                <c:pt idx="38">
                  <c:v>1897</c:v>
                </c:pt>
                <c:pt idx="39">
                  <c:v>1898</c:v>
                </c:pt>
                <c:pt idx="40">
                  <c:v>1899</c:v>
                </c:pt>
                <c:pt idx="41">
                  <c:v>1900</c:v>
                </c:pt>
                <c:pt idx="42">
                  <c:v>1901</c:v>
                </c:pt>
                <c:pt idx="43">
                  <c:v>1902</c:v>
                </c:pt>
                <c:pt idx="44">
                  <c:v>1903</c:v>
                </c:pt>
                <c:pt idx="45">
                  <c:v>1904</c:v>
                </c:pt>
                <c:pt idx="46">
                  <c:v>1905</c:v>
                </c:pt>
                <c:pt idx="47">
                  <c:v>1906</c:v>
                </c:pt>
                <c:pt idx="48">
                  <c:v>1907</c:v>
                </c:pt>
                <c:pt idx="49">
                  <c:v>1908</c:v>
                </c:pt>
                <c:pt idx="50">
                  <c:v>1909</c:v>
                </c:pt>
                <c:pt idx="51">
                  <c:v>1910</c:v>
                </c:pt>
                <c:pt idx="52">
                  <c:v>1911</c:v>
                </c:pt>
                <c:pt idx="53">
                  <c:v>1912</c:v>
                </c:pt>
                <c:pt idx="54">
                  <c:v>1913</c:v>
                </c:pt>
                <c:pt idx="55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'Nizhny Novgorod land leases'!$F$7:$F$61</c:f>
              <c:numCache>
                <c:formatCode>0.0</c:formatCode>
                <c:ptCount val="5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11.333333333333334</c:v>
                </c:pt>
                <c:pt idx="4">
                  <c:v>11.333333333333334</c:v>
                </c:pt>
                <c:pt idx="5">
                  <c:v>9.75</c:v>
                </c:pt>
                <c:pt idx="6">
                  <c:v>9.3333333333333339</c:v>
                </c:pt>
                <c:pt idx="7">
                  <c:v>9.3333333333333339</c:v>
                </c:pt>
                <c:pt idx="8">
                  <c:v>9.3333333333333339</c:v>
                </c:pt>
                <c:pt idx="9">
                  <c:v>8.1428571428571423</c:v>
                </c:pt>
                <c:pt idx="10">
                  <c:v>8.8571428571428577</c:v>
                </c:pt>
                <c:pt idx="11">
                  <c:v>7.4</c:v>
                </c:pt>
                <c:pt idx="12">
                  <c:v>8.2222222222222214</c:v>
                </c:pt>
                <c:pt idx="13">
                  <c:v>7.1111111111111107</c:v>
                </c:pt>
                <c:pt idx="14">
                  <c:v>7.9090909090909092</c:v>
                </c:pt>
                <c:pt idx="15">
                  <c:v>7.666666666666667</c:v>
                </c:pt>
                <c:pt idx="16">
                  <c:v>6.3</c:v>
                </c:pt>
                <c:pt idx="17">
                  <c:v>7.833333333333333</c:v>
                </c:pt>
                <c:pt idx="18">
                  <c:v>8.1666666666666661</c:v>
                </c:pt>
                <c:pt idx="19">
                  <c:v>9.1999999999999993</c:v>
                </c:pt>
                <c:pt idx="20">
                  <c:v>9.1999999999999993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5.3166666666666664</c:v>
                </c:pt>
                <c:pt idx="25">
                  <c:v>5.3166666666666664</c:v>
                </c:pt>
                <c:pt idx="26">
                  <c:v>4.2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3</c:v>
                </c:pt>
                <c:pt idx="36">
                  <c:v>1.8333333333333333</c:v>
                </c:pt>
                <c:pt idx="37">
                  <c:v>6</c:v>
                </c:pt>
                <c:pt idx="38">
                  <c:v>6</c:v>
                </c:pt>
                <c:pt idx="39">
                  <c:v>1.8333333333333333</c:v>
                </c:pt>
                <c:pt idx="40">
                  <c:v>1.8333333333333333</c:v>
                </c:pt>
                <c:pt idx="41">
                  <c:v>6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8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0-EFF2-4390-BA9C-2552C63E9BF8}"/>
            </c:ext>
          </c:extLst>
        </c:ser>
        <c:ser>
          <c:idx val="2"/>
          <c:order val="2"/>
          <c:tx>
            <c:v>число арендаторов, чел.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тренд, арендаторы</c:name>
            <c:spPr>
              <a:ln w="2540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'Nizhny Novgorod land leases'!$A$7:$A$62</c:f>
              <c:numCache>
                <c:formatCode>General</c:formatCode>
                <c:ptCount val="56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1884</c:v>
                </c:pt>
                <c:pt idx="26">
                  <c:v>1885</c:v>
                </c:pt>
                <c:pt idx="27">
                  <c:v>1886</c:v>
                </c:pt>
                <c:pt idx="28">
                  <c:v>1887</c:v>
                </c:pt>
                <c:pt idx="29">
                  <c:v>1888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1892</c:v>
                </c:pt>
                <c:pt idx="34">
                  <c:v>1893</c:v>
                </c:pt>
                <c:pt idx="35">
                  <c:v>1894</c:v>
                </c:pt>
                <c:pt idx="36">
                  <c:v>1895</c:v>
                </c:pt>
                <c:pt idx="37">
                  <c:v>1896</c:v>
                </c:pt>
                <c:pt idx="38">
                  <c:v>1897</c:v>
                </c:pt>
                <c:pt idx="39">
                  <c:v>1898</c:v>
                </c:pt>
                <c:pt idx="40">
                  <c:v>1899</c:v>
                </c:pt>
                <c:pt idx="41">
                  <c:v>1900</c:v>
                </c:pt>
                <c:pt idx="42">
                  <c:v>1901</c:v>
                </c:pt>
                <c:pt idx="43">
                  <c:v>1902</c:v>
                </c:pt>
                <c:pt idx="44">
                  <c:v>1903</c:v>
                </c:pt>
                <c:pt idx="45">
                  <c:v>1904</c:v>
                </c:pt>
                <c:pt idx="46">
                  <c:v>1905</c:v>
                </c:pt>
                <c:pt idx="47">
                  <c:v>1906</c:v>
                </c:pt>
                <c:pt idx="48">
                  <c:v>1907</c:v>
                </c:pt>
                <c:pt idx="49">
                  <c:v>1908</c:v>
                </c:pt>
                <c:pt idx="50">
                  <c:v>1909</c:v>
                </c:pt>
                <c:pt idx="51">
                  <c:v>1910</c:v>
                </c:pt>
                <c:pt idx="52">
                  <c:v>1911</c:v>
                </c:pt>
                <c:pt idx="53">
                  <c:v>1912</c:v>
                </c:pt>
                <c:pt idx="54">
                  <c:v>1913</c:v>
                </c:pt>
                <c:pt idx="55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'Nizhny Novgorod land leases'!$G$7:$G$62</c:f>
              <c:numCache>
                <c:formatCode>General</c:formatCode>
                <c:ptCount val="5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8</c:v>
                </c:pt>
                <c:pt idx="36">
                  <c:v>6</c:v>
                </c:pt>
                <c:pt idx="37">
                  <c:v>1</c:v>
                </c:pt>
                <c:pt idx="38">
                  <c:v>1</c:v>
                </c:pt>
                <c:pt idx="39">
                  <c:v>5</c:v>
                </c:pt>
                <c:pt idx="40">
                  <c:v>5</c:v>
                </c:pt>
                <c:pt idx="41">
                  <c:v>1</c:v>
                </c:pt>
                <c:pt idx="42">
                  <c:v>6</c:v>
                </c:pt>
                <c:pt idx="43">
                  <c:v>4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2</c:v>
                </c:pt>
                <c:pt idx="54">
                  <c:v>2</c:v>
                </c:pt>
                <c:pt idx="55">
                  <c:v>1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EFF2-4390-BA9C-2552C63E9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97504"/>
        <c:axId val="25079745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лесные склады, длительность</c:v>
                </c:tx>
                <c:spPr>
                  <a:ln w="19050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92D050"/>
                    </a:solidFill>
                    <a:ln w="9525">
                      <a:solidFill>
                        <a:srgbClr val="92D05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лесные_склады!$A$6:$A$55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1859</c:v>
                      </c:pt>
                      <c:pt idx="1">
                        <c:v>1860</c:v>
                      </c:pt>
                      <c:pt idx="2">
                        <c:v>1861</c:v>
                      </c:pt>
                      <c:pt idx="3">
                        <c:v>1862</c:v>
                      </c:pt>
                      <c:pt idx="4">
                        <c:v>1863</c:v>
                      </c:pt>
                      <c:pt idx="5">
                        <c:v>1864</c:v>
                      </c:pt>
                      <c:pt idx="6">
                        <c:v>1865</c:v>
                      </c:pt>
                      <c:pt idx="7">
                        <c:v>1866</c:v>
                      </c:pt>
                      <c:pt idx="8">
                        <c:v>1867</c:v>
                      </c:pt>
                      <c:pt idx="9">
                        <c:v>1868</c:v>
                      </c:pt>
                      <c:pt idx="10">
                        <c:v>1869</c:v>
                      </c:pt>
                      <c:pt idx="11">
                        <c:v>1870</c:v>
                      </c:pt>
                      <c:pt idx="12">
                        <c:v>1871</c:v>
                      </c:pt>
                      <c:pt idx="13">
                        <c:v>1872</c:v>
                      </c:pt>
                      <c:pt idx="14">
                        <c:v>1873</c:v>
                      </c:pt>
                      <c:pt idx="15">
                        <c:v>1874</c:v>
                      </c:pt>
                      <c:pt idx="16">
                        <c:v>1875</c:v>
                      </c:pt>
                      <c:pt idx="17">
                        <c:v>1876</c:v>
                      </c:pt>
                      <c:pt idx="18">
                        <c:v>1877</c:v>
                      </c:pt>
                      <c:pt idx="19">
                        <c:v>1878</c:v>
                      </c:pt>
                      <c:pt idx="20">
                        <c:v>1879</c:v>
                      </c:pt>
                      <c:pt idx="21">
                        <c:v>1880</c:v>
                      </c:pt>
                      <c:pt idx="22">
                        <c:v>1881</c:v>
                      </c:pt>
                      <c:pt idx="23">
                        <c:v>1882</c:v>
                      </c:pt>
                      <c:pt idx="24">
                        <c:v>1889</c:v>
                      </c:pt>
                      <c:pt idx="25">
                        <c:v>1890</c:v>
                      </c:pt>
                      <c:pt idx="26">
                        <c:v>1891</c:v>
                      </c:pt>
                      <c:pt idx="27">
                        <c:v>1892</c:v>
                      </c:pt>
                      <c:pt idx="28">
                        <c:v>1893</c:v>
                      </c:pt>
                      <c:pt idx="29">
                        <c:v>1894</c:v>
                      </c:pt>
                      <c:pt idx="30">
                        <c:v>1895</c:v>
                      </c:pt>
                      <c:pt idx="31">
                        <c:v>1896</c:v>
                      </c:pt>
                      <c:pt idx="32">
                        <c:v>1897</c:v>
                      </c:pt>
                      <c:pt idx="33">
                        <c:v>1898</c:v>
                      </c:pt>
                      <c:pt idx="34">
                        <c:v>1899</c:v>
                      </c:pt>
                      <c:pt idx="35">
                        <c:v>1900</c:v>
                      </c:pt>
                      <c:pt idx="36">
                        <c:v>1901</c:v>
                      </c:pt>
                      <c:pt idx="37">
                        <c:v>1902</c:v>
                      </c:pt>
                      <c:pt idx="38">
                        <c:v>1903</c:v>
                      </c:pt>
                      <c:pt idx="39">
                        <c:v>1904</c:v>
                      </c:pt>
                      <c:pt idx="40">
                        <c:v>1905</c:v>
                      </c:pt>
                      <c:pt idx="41">
                        <c:v>1906</c:v>
                      </c:pt>
                      <c:pt idx="42">
                        <c:v>1907</c:v>
                      </c:pt>
                      <c:pt idx="43">
                        <c:v>1908</c:v>
                      </c:pt>
                      <c:pt idx="44">
                        <c:v>1909</c:v>
                      </c:pt>
                      <c:pt idx="45">
                        <c:v>1910</c:v>
                      </c:pt>
                      <c:pt idx="46">
                        <c:v>1911</c:v>
                      </c:pt>
                      <c:pt idx="47">
                        <c:v>1912</c:v>
                      </c:pt>
                      <c:pt idx="48">
                        <c:v>1913</c:v>
                      </c:pt>
                      <c:pt idx="49">
                        <c:v>1914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лесные_склады!$E$6:$E$55</c15:sqref>
                        </c15:formulaRef>
                      </c:ext>
                    </c:extLst>
                    <c:numCache>
                      <c:formatCode>0.0</c:formatCode>
                      <c:ptCount val="50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 formatCode="General">
                        <c:v>12</c:v>
                      </c:pt>
                      <c:pt idx="12" formatCode="General">
                        <c:v>12</c:v>
                      </c:pt>
                      <c:pt idx="13" formatCode="General">
                        <c:v>12</c:v>
                      </c:pt>
                      <c:pt idx="14" formatCode="General">
                        <c:v>12</c:v>
                      </c:pt>
                      <c:pt idx="15" formatCode="General">
                        <c:v>12</c:v>
                      </c:pt>
                      <c:pt idx="16" formatCode="General">
                        <c:v>12</c:v>
                      </c:pt>
                      <c:pt idx="17" formatCode="General">
                        <c:v>12</c:v>
                      </c:pt>
                      <c:pt idx="18" formatCode="General">
                        <c:v>12</c:v>
                      </c:pt>
                      <c:pt idx="19" formatCode="General">
                        <c:v>12</c:v>
                      </c:pt>
                      <c:pt idx="20" formatCode="General">
                        <c:v>12</c:v>
                      </c:pt>
                      <c:pt idx="21" formatCode="General">
                        <c:v>12</c:v>
                      </c:pt>
                      <c:pt idx="22" formatCode="General">
                        <c:v>12</c:v>
                      </c:pt>
                      <c:pt idx="23" formatCode="General">
                        <c:v>12</c:v>
                      </c:pt>
                      <c:pt idx="24" formatCode="General">
                        <c:v>3</c:v>
                      </c:pt>
                      <c:pt idx="25" formatCode="General">
                        <c:v>3</c:v>
                      </c:pt>
                      <c:pt idx="26" formatCode="General">
                        <c:v>3</c:v>
                      </c:pt>
                      <c:pt idx="27" formatCode="General">
                        <c:v>3</c:v>
                      </c:pt>
                      <c:pt idx="28" formatCode="General">
                        <c:v>3</c:v>
                      </c:pt>
                      <c:pt idx="29" formatCode="General">
                        <c:v>3</c:v>
                      </c:pt>
                      <c:pt idx="30" formatCode="General">
                        <c:v>3</c:v>
                      </c:pt>
                      <c:pt idx="31" formatCode="General">
                        <c:v>3</c:v>
                      </c:pt>
                      <c:pt idx="32" formatCode="General">
                        <c:v>3</c:v>
                      </c:pt>
                      <c:pt idx="33" formatCode="General">
                        <c:v>3</c:v>
                      </c:pt>
                      <c:pt idx="34" formatCode="General">
                        <c:v>3</c:v>
                      </c:pt>
                      <c:pt idx="35" formatCode="General">
                        <c:v>6</c:v>
                      </c:pt>
                      <c:pt idx="36" formatCode="General">
                        <c:v>6</c:v>
                      </c:pt>
                      <c:pt idx="37" formatCode="General">
                        <c:v>6</c:v>
                      </c:pt>
                      <c:pt idx="38" formatCode="General">
                        <c:v>6</c:v>
                      </c:pt>
                      <c:pt idx="39" formatCode="General">
                        <c:v>6</c:v>
                      </c:pt>
                      <c:pt idx="40" formatCode="General">
                        <c:v>6</c:v>
                      </c:pt>
                      <c:pt idx="41" formatCode="General">
                        <c:v>6</c:v>
                      </c:pt>
                      <c:pt idx="42" formatCode="General">
                        <c:v>6</c:v>
                      </c:pt>
                      <c:pt idx="43" formatCode="General">
                        <c:v>6</c:v>
                      </c:pt>
                      <c:pt idx="44" formatCode="General">
                        <c:v>6</c:v>
                      </c:pt>
                      <c:pt idx="45" formatCode="General">
                        <c:v>6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EFF2-4390-BA9C-2552C63E9BF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арендаторы лесные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лесные_склады!$A$6:$A$55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1859</c:v>
                      </c:pt>
                      <c:pt idx="1">
                        <c:v>1860</c:v>
                      </c:pt>
                      <c:pt idx="2">
                        <c:v>1861</c:v>
                      </c:pt>
                      <c:pt idx="3">
                        <c:v>1862</c:v>
                      </c:pt>
                      <c:pt idx="4">
                        <c:v>1863</c:v>
                      </c:pt>
                      <c:pt idx="5">
                        <c:v>1864</c:v>
                      </c:pt>
                      <c:pt idx="6">
                        <c:v>1865</c:v>
                      </c:pt>
                      <c:pt idx="7">
                        <c:v>1866</c:v>
                      </c:pt>
                      <c:pt idx="8">
                        <c:v>1867</c:v>
                      </c:pt>
                      <c:pt idx="9">
                        <c:v>1868</c:v>
                      </c:pt>
                      <c:pt idx="10">
                        <c:v>1869</c:v>
                      </c:pt>
                      <c:pt idx="11">
                        <c:v>1870</c:v>
                      </c:pt>
                      <c:pt idx="12">
                        <c:v>1871</c:v>
                      </c:pt>
                      <c:pt idx="13">
                        <c:v>1872</c:v>
                      </c:pt>
                      <c:pt idx="14">
                        <c:v>1873</c:v>
                      </c:pt>
                      <c:pt idx="15">
                        <c:v>1874</c:v>
                      </c:pt>
                      <c:pt idx="16">
                        <c:v>1875</c:v>
                      </c:pt>
                      <c:pt idx="17">
                        <c:v>1876</c:v>
                      </c:pt>
                      <c:pt idx="18">
                        <c:v>1877</c:v>
                      </c:pt>
                      <c:pt idx="19">
                        <c:v>1878</c:v>
                      </c:pt>
                      <c:pt idx="20">
                        <c:v>1879</c:v>
                      </c:pt>
                      <c:pt idx="21">
                        <c:v>1880</c:v>
                      </c:pt>
                      <c:pt idx="22">
                        <c:v>1881</c:v>
                      </c:pt>
                      <c:pt idx="23">
                        <c:v>1882</c:v>
                      </c:pt>
                      <c:pt idx="24">
                        <c:v>1889</c:v>
                      </c:pt>
                      <c:pt idx="25">
                        <c:v>1890</c:v>
                      </c:pt>
                      <c:pt idx="26">
                        <c:v>1891</c:v>
                      </c:pt>
                      <c:pt idx="27">
                        <c:v>1892</c:v>
                      </c:pt>
                      <c:pt idx="28">
                        <c:v>1893</c:v>
                      </c:pt>
                      <c:pt idx="29">
                        <c:v>1894</c:v>
                      </c:pt>
                      <c:pt idx="30">
                        <c:v>1895</c:v>
                      </c:pt>
                      <c:pt idx="31">
                        <c:v>1896</c:v>
                      </c:pt>
                      <c:pt idx="32">
                        <c:v>1897</c:v>
                      </c:pt>
                      <c:pt idx="33">
                        <c:v>1898</c:v>
                      </c:pt>
                      <c:pt idx="34">
                        <c:v>1899</c:v>
                      </c:pt>
                      <c:pt idx="35">
                        <c:v>1900</c:v>
                      </c:pt>
                      <c:pt idx="36">
                        <c:v>1901</c:v>
                      </c:pt>
                      <c:pt idx="37">
                        <c:v>1902</c:v>
                      </c:pt>
                      <c:pt idx="38">
                        <c:v>1903</c:v>
                      </c:pt>
                      <c:pt idx="39">
                        <c:v>1904</c:v>
                      </c:pt>
                      <c:pt idx="40">
                        <c:v>1905</c:v>
                      </c:pt>
                      <c:pt idx="41">
                        <c:v>1906</c:v>
                      </c:pt>
                      <c:pt idx="42">
                        <c:v>1907</c:v>
                      </c:pt>
                      <c:pt idx="43">
                        <c:v>1908</c:v>
                      </c:pt>
                      <c:pt idx="44">
                        <c:v>1909</c:v>
                      </c:pt>
                      <c:pt idx="45">
                        <c:v>1910</c:v>
                      </c:pt>
                      <c:pt idx="46">
                        <c:v>1911</c:v>
                      </c:pt>
                      <c:pt idx="47">
                        <c:v>1912</c:v>
                      </c:pt>
                      <c:pt idx="48">
                        <c:v>1913</c:v>
                      </c:pt>
                      <c:pt idx="49">
                        <c:v>1914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лесные_склады!$F$6:$F$55</c15:sqref>
                        </c15:formulaRef>
                      </c:ext>
                    </c:extLst>
                    <c:numCache>
                      <c:formatCode>0.0</c:formatCode>
                      <c:ptCount val="50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 formatCode="General">
                        <c:v>8</c:v>
                      </c:pt>
                      <c:pt idx="12" formatCode="General">
                        <c:v>8</c:v>
                      </c:pt>
                      <c:pt idx="13" formatCode="General">
                        <c:v>8</c:v>
                      </c:pt>
                      <c:pt idx="14" formatCode="General">
                        <c:v>8</c:v>
                      </c:pt>
                      <c:pt idx="15" formatCode="General">
                        <c:v>8</c:v>
                      </c:pt>
                      <c:pt idx="16" formatCode="General">
                        <c:v>8</c:v>
                      </c:pt>
                      <c:pt idx="17" formatCode="General">
                        <c:v>8</c:v>
                      </c:pt>
                      <c:pt idx="18" formatCode="General">
                        <c:v>8</c:v>
                      </c:pt>
                      <c:pt idx="19" formatCode="General">
                        <c:v>8</c:v>
                      </c:pt>
                      <c:pt idx="20" formatCode="General">
                        <c:v>8</c:v>
                      </c:pt>
                      <c:pt idx="21" formatCode="General">
                        <c:v>8</c:v>
                      </c:pt>
                      <c:pt idx="22" formatCode="General">
                        <c:v>8</c:v>
                      </c:pt>
                      <c:pt idx="23" formatCode="General">
                        <c:v>8</c:v>
                      </c:pt>
                      <c:pt idx="24" formatCode="General">
                        <c:v>16</c:v>
                      </c:pt>
                      <c:pt idx="25" formatCode="General">
                        <c:v>16</c:v>
                      </c:pt>
                      <c:pt idx="26" formatCode="General">
                        <c:v>16</c:v>
                      </c:pt>
                      <c:pt idx="27" formatCode="General">
                        <c:v>15</c:v>
                      </c:pt>
                      <c:pt idx="28" formatCode="General">
                        <c:v>15</c:v>
                      </c:pt>
                      <c:pt idx="29" formatCode="General">
                        <c:v>15</c:v>
                      </c:pt>
                      <c:pt idx="30" formatCode="General">
                        <c:v>15</c:v>
                      </c:pt>
                      <c:pt idx="31" formatCode="General">
                        <c:v>15</c:v>
                      </c:pt>
                      <c:pt idx="32" formatCode="General">
                        <c:v>15</c:v>
                      </c:pt>
                      <c:pt idx="33" formatCode="General">
                        <c:v>14</c:v>
                      </c:pt>
                      <c:pt idx="34" formatCode="General">
                        <c:v>14</c:v>
                      </c:pt>
                      <c:pt idx="35" formatCode="General">
                        <c:v>2</c:v>
                      </c:pt>
                      <c:pt idx="36" formatCode="General">
                        <c:v>3</c:v>
                      </c:pt>
                      <c:pt idx="37" formatCode="General">
                        <c:v>5</c:v>
                      </c:pt>
                      <c:pt idx="38" formatCode="General">
                        <c:v>5</c:v>
                      </c:pt>
                      <c:pt idx="39" formatCode="General">
                        <c:v>7</c:v>
                      </c:pt>
                      <c:pt idx="40" formatCode="General">
                        <c:v>7</c:v>
                      </c:pt>
                      <c:pt idx="41" formatCode="General">
                        <c:v>5</c:v>
                      </c:pt>
                      <c:pt idx="42" formatCode="General">
                        <c:v>4</c:v>
                      </c:pt>
                      <c:pt idx="43" formatCode="General">
                        <c:v>2</c:v>
                      </c:pt>
                      <c:pt idx="44" formatCode="General">
                        <c:v>2</c:v>
                      </c:pt>
                      <c:pt idx="45" formatCode="General">
                        <c:v>2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FF2-4390-BA9C-2552C63E9BF8}"/>
                  </c:ext>
                </c:extLst>
              </c15:ser>
            </c15:filteredScatterSeries>
          </c:ext>
        </c:extLst>
      </c:scatterChart>
      <c:scatterChart>
        <c:scatterStyle val="smoothMarker"/>
        <c:varyColors val="0"/>
        <c:ser>
          <c:idx val="4"/>
          <c:order val="4"/>
          <c:tx>
            <c:v>средняя площадь, кв.саж.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name>тренд, площадь</c:name>
            <c:spPr>
              <a:ln w="34925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'Nizhny Novgorod land leases'!$A$7:$A$62</c:f>
              <c:numCache>
                <c:formatCode>General</c:formatCode>
                <c:ptCount val="56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1884</c:v>
                </c:pt>
                <c:pt idx="26">
                  <c:v>1885</c:v>
                </c:pt>
                <c:pt idx="27">
                  <c:v>1886</c:v>
                </c:pt>
                <c:pt idx="28">
                  <c:v>1887</c:v>
                </c:pt>
                <c:pt idx="29">
                  <c:v>1888</c:v>
                </c:pt>
                <c:pt idx="30">
                  <c:v>1889</c:v>
                </c:pt>
                <c:pt idx="31">
                  <c:v>1890</c:v>
                </c:pt>
                <c:pt idx="32">
                  <c:v>1891</c:v>
                </c:pt>
                <c:pt idx="33">
                  <c:v>1892</c:v>
                </c:pt>
                <c:pt idx="34">
                  <c:v>1893</c:v>
                </c:pt>
                <c:pt idx="35">
                  <c:v>1894</c:v>
                </c:pt>
                <c:pt idx="36">
                  <c:v>1895</c:v>
                </c:pt>
                <c:pt idx="37">
                  <c:v>1896</c:v>
                </c:pt>
                <c:pt idx="38">
                  <c:v>1897</c:v>
                </c:pt>
                <c:pt idx="39">
                  <c:v>1898</c:v>
                </c:pt>
                <c:pt idx="40">
                  <c:v>1899</c:v>
                </c:pt>
                <c:pt idx="41">
                  <c:v>1900</c:v>
                </c:pt>
                <c:pt idx="42">
                  <c:v>1901</c:v>
                </c:pt>
                <c:pt idx="43">
                  <c:v>1902</c:v>
                </c:pt>
                <c:pt idx="44">
                  <c:v>1903</c:v>
                </c:pt>
                <c:pt idx="45">
                  <c:v>1904</c:v>
                </c:pt>
                <c:pt idx="46">
                  <c:v>1905</c:v>
                </c:pt>
                <c:pt idx="47">
                  <c:v>1906</c:v>
                </c:pt>
                <c:pt idx="48">
                  <c:v>1907</c:v>
                </c:pt>
                <c:pt idx="49">
                  <c:v>1908</c:v>
                </c:pt>
                <c:pt idx="50">
                  <c:v>1909</c:v>
                </c:pt>
                <c:pt idx="51">
                  <c:v>1910</c:v>
                </c:pt>
                <c:pt idx="52">
                  <c:v>1911</c:v>
                </c:pt>
                <c:pt idx="53">
                  <c:v>1912</c:v>
                </c:pt>
                <c:pt idx="54">
                  <c:v>1913</c:v>
                </c:pt>
                <c:pt idx="55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'Nizhny Novgorod land leases'!$D$7:$D$62</c:f>
              <c:numCache>
                <c:formatCode>General</c:formatCode>
                <c:ptCount val="56"/>
                <c:pt idx="0">
                  <c:v>3559</c:v>
                </c:pt>
                <c:pt idx="1">
                  <c:v>3559</c:v>
                </c:pt>
                <c:pt idx="2">
                  <c:v>3559</c:v>
                </c:pt>
                <c:pt idx="3" formatCode="0">
                  <c:v>3172.6666666666665</c:v>
                </c:pt>
                <c:pt idx="4" formatCode="0">
                  <c:v>3172.6666666666665</c:v>
                </c:pt>
                <c:pt idx="5" formatCode="0">
                  <c:v>2567</c:v>
                </c:pt>
                <c:pt idx="6" formatCode="0">
                  <c:v>2711.3333333333335</c:v>
                </c:pt>
                <c:pt idx="7" formatCode="0">
                  <c:v>2711.3333333333335</c:v>
                </c:pt>
                <c:pt idx="8" formatCode="0">
                  <c:v>2711.3333333333335</c:v>
                </c:pt>
                <c:pt idx="9" formatCode="0">
                  <c:v>2552.5714285714284</c:v>
                </c:pt>
                <c:pt idx="10" formatCode="0">
                  <c:v>3124</c:v>
                </c:pt>
                <c:pt idx="11" formatCode="0">
                  <c:v>3065.1</c:v>
                </c:pt>
                <c:pt idx="12" formatCode="0">
                  <c:v>3059.181818181818</c:v>
                </c:pt>
                <c:pt idx="13" formatCode="0">
                  <c:v>3007.2777777777778</c:v>
                </c:pt>
                <c:pt idx="14" formatCode="0">
                  <c:v>2597.7272727272725</c:v>
                </c:pt>
                <c:pt idx="15" formatCode="0">
                  <c:v>2689.7916666666665</c:v>
                </c:pt>
                <c:pt idx="16" formatCode="0">
                  <c:v>2770.1</c:v>
                </c:pt>
                <c:pt idx="17" formatCode="0">
                  <c:v>2219.6666666666665</c:v>
                </c:pt>
                <c:pt idx="18" formatCode="0">
                  <c:v>2700</c:v>
                </c:pt>
                <c:pt idx="19" formatCode="0">
                  <c:v>3120</c:v>
                </c:pt>
                <c:pt idx="20" formatCode="0">
                  <c:v>3120</c:v>
                </c:pt>
                <c:pt idx="21" formatCode="0">
                  <c:v>3300</c:v>
                </c:pt>
                <c:pt idx="22" formatCode="0">
                  <c:v>3400</c:v>
                </c:pt>
                <c:pt idx="23" formatCode="0">
                  <c:v>2653.75</c:v>
                </c:pt>
                <c:pt idx="24" formatCode="0">
                  <c:v>3612.3333333333335</c:v>
                </c:pt>
                <c:pt idx="25" formatCode="0">
                  <c:v>3612.3333333333335</c:v>
                </c:pt>
                <c:pt idx="26" formatCode="0">
                  <c:v>3882.5</c:v>
                </c:pt>
                <c:pt idx="27" formatCode="0">
                  <c:v>6006</c:v>
                </c:pt>
                <c:pt idx="28" formatCode="0">
                  <c:v>6006</c:v>
                </c:pt>
                <c:pt idx="29" formatCode="0">
                  <c:v>6006</c:v>
                </c:pt>
                <c:pt idx="30" formatCode="0">
                  <c:v>6006</c:v>
                </c:pt>
                <c:pt idx="31" formatCode="0">
                  <c:v>6006</c:v>
                </c:pt>
                <c:pt idx="32" formatCode="0">
                  <c:v>6006</c:v>
                </c:pt>
                <c:pt idx="33" formatCode="0">
                  <c:v>6006</c:v>
                </c:pt>
                <c:pt idx="34" formatCode="0">
                  <c:v>6006</c:v>
                </c:pt>
                <c:pt idx="35" formatCode="0">
                  <c:v>5881.375</c:v>
                </c:pt>
                <c:pt idx="36" formatCode="0">
                  <c:v>3936.1666666666665</c:v>
                </c:pt>
                <c:pt idx="37">
                  <c:v>7212</c:v>
                </c:pt>
                <c:pt idx="38">
                  <c:v>7212</c:v>
                </c:pt>
                <c:pt idx="39" formatCode="0">
                  <c:v>6108.9</c:v>
                </c:pt>
                <c:pt idx="40">
                  <c:v>6615.2</c:v>
                </c:pt>
                <c:pt idx="41">
                  <c:v>7212</c:v>
                </c:pt>
                <c:pt idx="42" formatCode="0">
                  <c:v>2667.8666666666668</c:v>
                </c:pt>
                <c:pt idx="43" formatCode="0">
                  <c:v>2886.45</c:v>
                </c:pt>
                <c:pt idx="44" formatCode="0">
                  <c:v>1784</c:v>
                </c:pt>
                <c:pt idx="45">
                  <c:v>7268</c:v>
                </c:pt>
                <c:pt idx="48" formatCode="0">
                  <c:v>5239.166666666667</c:v>
                </c:pt>
                <c:pt idx="52">
                  <c:v>0</c:v>
                </c:pt>
                <c:pt idx="53">
                  <c:v>2898</c:v>
                </c:pt>
                <c:pt idx="54">
                  <c:v>0</c:v>
                </c:pt>
                <c:pt idx="55">
                  <c:v>7200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2-EFF2-4390-BA9C-2552C63E9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5472"/>
        <c:axId val="250618464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площадь, лесные, среднее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лесные_склады!$A$6:$A$55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1859</c:v>
                      </c:pt>
                      <c:pt idx="1">
                        <c:v>1860</c:v>
                      </c:pt>
                      <c:pt idx="2">
                        <c:v>1861</c:v>
                      </c:pt>
                      <c:pt idx="3">
                        <c:v>1862</c:v>
                      </c:pt>
                      <c:pt idx="4">
                        <c:v>1863</c:v>
                      </c:pt>
                      <c:pt idx="5">
                        <c:v>1864</c:v>
                      </c:pt>
                      <c:pt idx="6">
                        <c:v>1865</c:v>
                      </c:pt>
                      <c:pt idx="7">
                        <c:v>1866</c:v>
                      </c:pt>
                      <c:pt idx="8">
                        <c:v>1867</c:v>
                      </c:pt>
                      <c:pt idx="9">
                        <c:v>1868</c:v>
                      </c:pt>
                      <c:pt idx="10">
                        <c:v>1869</c:v>
                      </c:pt>
                      <c:pt idx="11">
                        <c:v>1870</c:v>
                      </c:pt>
                      <c:pt idx="12">
                        <c:v>1871</c:v>
                      </c:pt>
                      <c:pt idx="13">
                        <c:v>1872</c:v>
                      </c:pt>
                      <c:pt idx="14">
                        <c:v>1873</c:v>
                      </c:pt>
                      <c:pt idx="15">
                        <c:v>1874</c:v>
                      </c:pt>
                      <c:pt idx="16">
                        <c:v>1875</c:v>
                      </c:pt>
                      <c:pt idx="17">
                        <c:v>1876</c:v>
                      </c:pt>
                      <c:pt idx="18">
                        <c:v>1877</c:v>
                      </c:pt>
                      <c:pt idx="19">
                        <c:v>1878</c:v>
                      </c:pt>
                      <c:pt idx="20">
                        <c:v>1879</c:v>
                      </c:pt>
                      <c:pt idx="21">
                        <c:v>1880</c:v>
                      </c:pt>
                      <c:pt idx="22">
                        <c:v>1881</c:v>
                      </c:pt>
                      <c:pt idx="23">
                        <c:v>1882</c:v>
                      </c:pt>
                      <c:pt idx="24">
                        <c:v>1889</c:v>
                      </c:pt>
                      <c:pt idx="25">
                        <c:v>1890</c:v>
                      </c:pt>
                      <c:pt idx="26">
                        <c:v>1891</c:v>
                      </c:pt>
                      <c:pt idx="27">
                        <c:v>1892</c:v>
                      </c:pt>
                      <c:pt idx="28">
                        <c:v>1893</c:v>
                      </c:pt>
                      <c:pt idx="29">
                        <c:v>1894</c:v>
                      </c:pt>
                      <c:pt idx="30">
                        <c:v>1895</c:v>
                      </c:pt>
                      <c:pt idx="31">
                        <c:v>1896</c:v>
                      </c:pt>
                      <c:pt idx="32">
                        <c:v>1897</c:v>
                      </c:pt>
                      <c:pt idx="33">
                        <c:v>1898</c:v>
                      </c:pt>
                      <c:pt idx="34">
                        <c:v>1899</c:v>
                      </c:pt>
                      <c:pt idx="35">
                        <c:v>1900</c:v>
                      </c:pt>
                      <c:pt idx="36">
                        <c:v>1901</c:v>
                      </c:pt>
                      <c:pt idx="37">
                        <c:v>1902</c:v>
                      </c:pt>
                      <c:pt idx="38">
                        <c:v>1903</c:v>
                      </c:pt>
                      <c:pt idx="39">
                        <c:v>1904</c:v>
                      </c:pt>
                      <c:pt idx="40">
                        <c:v>1905</c:v>
                      </c:pt>
                      <c:pt idx="41">
                        <c:v>1906</c:v>
                      </c:pt>
                      <c:pt idx="42">
                        <c:v>1907</c:v>
                      </c:pt>
                      <c:pt idx="43">
                        <c:v>1908</c:v>
                      </c:pt>
                      <c:pt idx="44">
                        <c:v>1909</c:v>
                      </c:pt>
                      <c:pt idx="45">
                        <c:v>1910</c:v>
                      </c:pt>
                      <c:pt idx="46">
                        <c:v>1911</c:v>
                      </c:pt>
                      <c:pt idx="47">
                        <c:v>1912</c:v>
                      </c:pt>
                      <c:pt idx="48">
                        <c:v>1913</c:v>
                      </c:pt>
                      <c:pt idx="49">
                        <c:v>1914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лесные_склады!$C$6:$C$55</c15:sqref>
                        </c15:formulaRef>
                      </c:ext>
                    </c:extLst>
                    <c:numCache>
                      <c:formatCode>0.0</c:formatCode>
                      <c:ptCount val="50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 formatCode="General">
                        <c:v>1200</c:v>
                      </c:pt>
                      <c:pt idx="12" formatCode="General">
                        <c:v>1200</c:v>
                      </c:pt>
                      <c:pt idx="13" formatCode="General">
                        <c:v>1200</c:v>
                      </c:pt>
                      <c:pt idx="14" formatCode="General">
                        <c:v>1200</c:v>
                      </c:pt>
                      <c:pt idx="15" formatCode="General">
                        <c:v>1200</c:v>
                      </c:pt>
                      <c:pt idx="16" formatCode="General">
                        <c:v>1200</c:v>
                      </c:pt>
                      <c:pt idx="17" formatCode="General">
                        <c:v>1200</c:v>
                      </c:pt>
                      <c:pt idx="18" formatCode="General">
                        <c:v>1200</c:v>
                      </c:pt>
                      <c:pt idx="19" formatCode="General">
                        <c:v>1200</c:v>
                      </c:pt>
                      <c:pt idx="20" formatCode="General">
                        <c:v>1200</c:v>
                      </c:pt>
                      <c:pt idx="21" formatCode="General">
                        <c:v>1200</c:v>
                      </c:pt>
                      <c:pt idx="22" formatCode="General">
                        <c:v>1200</c:v>
                      </c:pt>
                      <c:pt idx="23" formatCode="General">
                        <c:v>1200</c:v>
                      </c:pt>
                      <c:pt idx="24" formatCode="0">
                        <c:v>1106.4375</c:v>
                      </c:pt>
                      <c:pt idx="25" formatCode="0">
                        <c:v>1106.4375</c:v>
                      </c:pt>
                      <c:pt idx="26" formatCode="0">
                        <c:v>1106.4375</c:v>
                      </c:pt>
                      <c:pt idx="27" formatCode="0">
                        <c:v>1089.4666666666667</c:v>
                      </c:pt>
                      <c:pt idx="28" formatCode="0">
                        <c:v>1089.4666666666667</c:v>
                      </c:pt>
                      <c:pt idx="29" formatCode="0">
                        <c:v>1022.6666666666666</c:v>
                      </c:pt>
                      <c:pt idx="30" formatCode="0">
                        <c:v>1022.6666666666666</c:v>
                      </c:pt>
                      <c:pt idx="31" formatCode="0">
                        <c:v>1022.6666666666666</c:v>
                      </c:pt>
                      <c:pt idx="32" formatCode="0">
                        <c:v>914.26666666666665</c:v>
                      </c:pt>
                      <c:pt idx="33" formatCode="0">
                        <c:v>961.71428571428567</c:v>
                      </c:pt>
                      <c:pt idx="34" formatCode="0">
                        <c:v>961.71428571428567</c:v>
                      </c:pt>
                      <c:pt idx="35" formatCode="General">
                        <c:v>3240</c:v>
                      </c:pt>
                      <c:pt idx="36" formatCode="0">
                        <c:v>2826.6666666666665</c:v>
                      </c:pt>
                      <c:pt idx="37" formatCode="0">
                        <c:v>2626.25</c:v>
                      </c:pt>
                      <c:pt idx="38" formatCode="0">
                        <c:v>2626.25</c:v>
                      </c:pt>
                      <c:pt idx="39" formatCode="General">
                        <c:v>2236</c:v>
                      </c:pt>
                      <c:pt idx="40" formatCode="General">
                        <c:v>2236</c:v>
                      </c:pt>
                      <c:pt idx="41" formatCode="0">
                        <c:v>1566.6666666666667</c:v>
                      </c:pt>
                      <c:pt idx="42" formatCode="General">
                        <c:v>1350</c:v>
                      </c:pt>
                      <c:pt idx="43" formatCode="General">
                        <c:v>675</c:v>
                      </c:pt>
                      <c:pt idx="44" formatCode="General">
                        <c:v>675</c:v>
                      </c:pt>
                      <c:pt idx="45" formatCode="General">
                        <c:v>675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EFF2-4390-BA9C-2552C63E9BF8}"/>
                  </c:ext>
                </c:extLst>
              </c15:ser>
            </c15:filteredScatterSeries>
          </c:ext>
        </c:extLst>
      </c:scatterChart>
      <c:valAx>
        <c:axId val="2518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797456"/>
        <c:crosses val="autoZero"/>
        <c:crossBetween val="midCat"/>
        <c:majorUnit val="5"/>
      </c:valAx>
      <c:valAx>
        <c:axId val="250797456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чел., лет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897504"/>
        <c:crosses val="autoZero"/>
        <c:crossBetween val="midCat"/>
      </c:valAx>
      <c:valAx>
        <c:axId val="250618464"/>
        <c:scaling>
          <c:orientation val="minMax"/>
          <c:max val="7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кв.саж.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265472"/>
        <c:crosses val="max"/>
        <c:crossBetween val="midCat"/>
      </c:valAx>
      <c:valAx>
        <c:axId val="19726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61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19639191458358"/>
          <c:y val="0.2100292988449691"/>
          <c:w val="0.18988790055417989"/>
          <c:h val="0.77936977362074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alpha val="93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/>
              <a:t>Развитие земельной аренды </a:t>
            </a:r>
          </a:p>
          <a:p>
            <a:pPr>
              <a:defRPr sz="1200" b="1"/>
            </a:pPr>
            <a:r>
              <a:rPr lang="ru-RU" sz="1000" b="1"/>
              <a:t>под лесные дворы</a:t>
            </a:r>
          </a:p>
          <a:p>
            <a:pPr>
              <a:defRPr sz="1200" b="1"/>
            </a:pPr>
            <a:r>
              <a:rPr lang="ru-RU" sz="1000" b="1"/>
              <a:t> в Нижнем Новгороде </a:t>
            </a:r>
          </a:p>
          <a:p>
            <a:pPr>
              <a:defRPr sz="1200" b="1"/>
            </a:pPr>
            <a:r>
              <a:rPr lang="ru-RU" sz="1000" b="1"/>
              <a:t>во второй половине </a:t>
            </a:r>
            <a:r>
              <a:rPr lang="en-US" sz="1000" b="1"/>
              <a:t>XIX - </a:t>
            </a:r>
            <a:r>
              <a:rPr lang="ru-RU" sz="1000" b="1"/>
              <a:t>начале </a:t>
            </a:r>
            <a:r>
              <a:rPr lang="en-US" sz="1000" b="1"/>
              <a:t>XX </a:t>
            </a:r>
            <a:r>
              <a:rPr lang="ru-RU" sz="1000" b="1"/>
              <a:t>в.</a:t>
            </a:r>
          </a:p>
        </c:rich>
      </c:tx>
      <c:layout>
        <c:manualLayout>
          <c:xMode val="edge"/>
          <c:yMode val="edge"/>
          <c:x val="0.68909328861617769"/>
          <c:y val="4.7619059522324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1034105728026686E-2"/>
          <c:y val="2.5114155251141551E-2"/>
          <c:w val="0.6287324163069643"/>
          <c:h val="0.91507244813576383"/>
        </c:manualLayout>
      </c:layout>
      <c:scatterChart>
        <c:scatterStyle val="smoothMarker"/>
        <c:varyColors val="0"/>
        <c:ser>
          <c:idx val="1"/>
          <c:order val="0"/>
          <c:tx>
            <c:v>длительность аренды, лет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лесные_склады!$A$6:$A$55</c:f>
              <c:numCache>
                <c:formatCode>General</c:formatCode>
                <c:ptCount val="50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1889</c:v>
                </c:pt>
                <c:pt idx="25">
                  <c:v>1890</c:v>
                </c:pt>
                <c:pt idx="26">
                  <c:v>1891</c:v>
                </c:pt>
                <c:pt idx="27">
                  <c:v>1892</c:v>
                </c:pt>
                <c:pt idx="28">
                  <c:v>1893</c:v>
                </c:pt>
                <c:pt idx="29">
                  <c:v>1894</c:v>
                </c:pt>
                <c:pt idx="30">
                  <c:v>1895</c:v>
                </c:pt>
                <c:pt idx="31">
                  <c:v>1896</c:v>
                </c:pt>
                <c:pt idx="32">
                  <c:v>1897</c:v>
                </c:pt>
                <c:pt idx="33">
                  <c:v>1898</c:v>
                </c:pt>
                <c:pt idx="34">
                  <c:v>1899</c:v>
                </c:pt>
                <c:pt idx="35">
                  <c:v>1900</c:v>
                </c:pt>
                <c:pt idx="36">
                  <c:v>1901</c:v>
                </c:pt>
                <c:pt idx="37">
                  <c:v>1902</c:v>
                </c:pt>
                <c:pt idx="38">
                  <c:v>1903</c:v>
                </c:pt>
                <c:pt idx="39">
                  <c:v>1904</c:v>
                </c:pt>
                <c:pt idx="40">
                  <c:v>1905</c:v>
                </c:pt>
                <c:pt idx="41">
                  <c:v>1906</c:v>
                </c:pt>
                <c:pt idx="42">
                  <c:v>1907</c:v>
                </c:pt>
                <c:pt idx="43">
                  <c:v>1908</c:v>
                </c:pt>
                <c:pt idx="44">
                  <c:v>1909</c:v>
                </c:pt>
                <c:pt idx="45">
                  <c:v>1910</c:v>
                </c:pt>
                <c:pt idx="46">
                  <c:v>1911</c:v>
                </c:pt>
                <c:pt idx="47">
                  <c:v>1912</c:v>
                </c:pt>
                <c:pt idx="48">
                  <c:v>1913</c:v>
                </c:pt>
                <c:pt idx="49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лесные_склады!$E$6:$E$55</c:f>
              <c:numCache>
                <c:formatCode>0.0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 formatCode="General">
                  <c:v>12</c:v>
                </c:pt>
                <c:pt idx="12" formatCode="General">
                  <c:v>12</c:v>
                </c:pt>
                <c:pt idx="13" formatCode="General">
                  <c:v>12</c:v>
                </c:pt>
                <c:pt idx="14" formatCode="General">
                  <c:v>12</c:v>
                </c:pt>
                <c:pt idx="15" formatCode="General">
                  <c:v>12</c:v>
                </c:pt>
                <c:pt idx="16" formatCode="General">
                  <c:v>12</c:v>
                </c:pt>
                <c:pt idx="17" formatCode="General">
                  <c:v>12</c:v>
                </c:pt>
                <c:pt idx="18" formatCode="General">
                  <c:v>12</c:v>
                </c:pt>
                <c:pt idx="19" formatCode="General">
                  <c:v>12</c:v>
                </c:pt>
                <c:pt idx="20" formatCode="General">
                  <c:v>12</c:v>
                </c:pt>
                <c:pt idx="21" formatCode="General">
                  <c:v>12</c:v>
                </c:pt>
                <c:pt idx="22" formatCode="General">
                  <c:v>12</c:v>
                </c:pt>
                <c:pt idx="23" formatCode="General">
                  <c:v>12</c:v>
                </c:pt>
                <c:pt idx="24" formatCode="General">
                  <c:v>3</c:v>
                </c:pt>
                <c:pt idx="25" formatCode="General">
                  <c:v>3</c:v>
                </c:pt>
                <c:pt idx="26" formatCode="General">
                  <c:v>3</c:v>
                </c:pt>
                <c:pt idx="27" formatCode="General">
                  <c:v>3</c:v>
                </c:pt>
                <c:pt idx="28" formatCode="General">
                  <c:v>3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3</c:v>
                </c:pt>
                <c:pt idx="33" formatCode="General">
                  <c:v>3</c:v>
                </c:pt>
                <c:pt idx="34" formatCode="General">
                  <c:v>3</c:v>
                </c:pt>
                <c:pt idx="35" formatCode="General">
                  <c:v>6</c:v>
                </c:pt>
                <c:pt idx="36" formatCode="General">
                  <c:v>6</c:v>
                </c:pt>
                <c:pt idx="37" formatCode="General">
                  <c:v>6</c:v>
                </c:pt>
                <c:pt idx="38" formatCode="General">
                  <c:v>6</c:v>
                </c:pt>
                <c:pt idx="39" formatCode="General">
                  <c:v>6</c:v>
                </c:pt>
                <c:pt idx="40" formatCode="General">
                  <c:v>6</c:v>
                </c:pt>
                <c:pt idx="41" formatCode="General">
                  <c:v>6</c:v>
                </c:pt>
                <c:pt idx="42" formatCode="General">
                  <c:v>6</c:v>
                </c:pt>
                <c:pt idx="43" formatCode="General">
                  <c:v>6</c:v>
                </c:pt>
                <c:pt idx="44" formatCode="General">
                  <c:v>6</c:v>
                </c:pt>
                <c:pt idx="45" formatCode="General">
                  <c:v>6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0-9662-43F0-94BD-B32FEB4F1C14}"/>
            </c:ext>
          </c:extLst>
        </c:ser>
        <c:ser>
          <c:idx val="3"/>
          <c:order val="1"/>
          <c:tx>
            <c:v>арендаторы, чел.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лесные_склады!$A$6:$A$55</c:f>
              <c:numCache>
                <c:formatCode>General</c:formatCode>
                <c:ptCount val="50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1889</c:v>
                </c:pt>
                <c:pt idx="25">
                  <c:v>1890</c:v>
                </c:pt>
                <c:pt idx="26">
                  <c:v>1891</c:v>
                </c:pt>
                <c:pt idx="27">
                  <c:v>1892</c:v>
                </c:pt>
                <c:pt idx="28">
                  <c:v>1893</c:v>
                </c:pt>
                <c:pt idx="29">
                  <c:v>1894</c:v>
                </c:pt>
                <c:pt idx="30">
                  <c:v>1895</c:v>
                </c:pt>
                <c:pt idx="31">
                  <c:v>1896</c:v>
                </c:pt>
                <c:pt idx="32">
                  <c:v>1897</c:v>
                </c:pt>
                <c:pt idx="33">
                  <c:v>1898</c:v>
                </c:pt>
                <c:pt idx="34">
                  <c:v>1899</c:v>
                </c:pt>
                <c:pt idx="35">
                  <c:v>1900</c:v>
                </c:pt>
                <c:pt idx="36">
                  <c:v>1901</c:v>
                </c:pt>
                <c:pt idx="37">
                  <c:v>1902</c:v>
                </c:pt>
                <c:pt idx="38">
                  <c:v>1903</c:v>
                </c:pt>
                <c:pt idx="39">
                  <c:v>1904</c:v>
                </c:pt>
                <c:pt idx="40">
                  <c:v>1905</c:v>
                </c:pt>
                <c:pt idx="41">
                  <c:v>1906</c:v>
                </c:pt>
                <c:pt idx="42">
                  <c:v>1907</c:v>
                </c:pt>
                <c:pt idx="43">
                  <c:v>1908</c:v>
                </c:pt>
                <c:pt idx="44">
                  <c:v>1909</c:v>
                </c:pt>
                <c:pt idx="45">
                  <c:v>1910</c:v>
                </c:pt>
                <c:pt idx="46">
                  <c:v>1911</c:v>
                </c:pt>
                <c:pt idx="47">
                  <c:v>1912</c:v>
                </c:pt>
                <c:pt idx="48">
                  <c:v>1913</c:v>
                </c:pt>
                <c:pt idx="49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лесные_склады!$F$6:$F$55</c:f>
              <c:numCache>
                <c:formatCode>0.0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 formatCode="General">
                  <c:v>8</c:v>
                </c:pt>
                <c:pt idx="12" formatCode="General">
                  <c:v>8</c:v>
                </c:pt>
                <c:pt idx="13" formatCode="General">
                  <c:v>8</c:v>
                </c:pt>
                <c:pt idx="14" formatCode="General">
                  <c:v>8</c:v>
                </c:pt>
                <c:pt idx="15" formatCode="General">
                  <c:v>8</c:v>
                </c:pt>
                <c:pt idx="16" formatCode="General">
                  <c:v>8</c:v>
                </c:pt>
                <c:pt idx="17" formatCode="General">
                  <c:v>8</c:v>
                </c:pt>
                <c:pt idx="18" formatCode="General">
                  <c:v>8</c:v>
                </c:pt>
                <c:pt idx="19" formatCode="General">
                  <c:v>8</c:v>
                </c:pt>
                <c:pt idx="20" formatCode="General">
                  <c:v>8</c:v>
                </c:pt>
                <c:pt idx="21" formatCode="General">
                  <c:v>8</c:v>
                </c:pt>
                <c:pt idx="22" formatCode="General">
                  <c:v>8</c:v>
                </c:pt>
                <c:pt idx="23" formatCode="General">
                  <c:v>8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16</c:v>
                </c:pt>
                <c:pt idx="27" formatCode="General">
                  <c:v>15</c:v>
                </c:pt>
                <c:pt idx="28" formatCode="General">
                  <c:v>15</c:v>
                </c:pt>
                <c:pt idx="29" formatCode="General">
                  <c:v>15</c:v>
                </c:pt>
                <c:pt idx="30" formatCode="General">
                  <c:v>15</c:v>
                </c:pt>
                <c:pt idx="31" formatCode="General">
                  <c:v>15</c:v>
                </c:pt>
                <c:pt idx="32" formatCode="General">
                  <c:v>15</c:v>
                </c:pt>
                <c:pt idx="33" formatCode="General">
                  <c:v>14</c:v>
                </c:pt>
                <c:pt idx="34" formatCode="General">
                  <c:v>14</c:v>
                </c:pt>
                <c:pt idx="35" formatCode="General">
                  <c:v>2</c:v>
                </c:pt>
                <c:pt idx="36" formatCode="General">
                  <c:v>3</c:v>
                </c:pt>
                <c:pt idx="37" formatCode="General">
                  <c:v>5</c:v>
                </c:pt>
                <c:pt idx="38" formatCode="General">
                  <c:v>5</c:v>
                </c:pt>
                <c:pt idx="39" formatCode="General">
                  <c:v>7</c:v>
                </c:pt>
                <c:pt idx="40" formatCode="General">
                  <c:v>7</c:v>
                </c:pt>
                <c:pt idx="41" formatCode="General">
                  <c:v>5</c:v>
                </c:pt>
                <c:pt idx="42" formatCode="General">
                  <c:v>4</c:v>
                </c:pt>
                <c:pt idx="43" formatCode="General">
                  <c:v>2</c:v>
                </c:pt>
                <c:pt idx="44" formatCode="General">
                  <c:v>2</c:v>
                </c:pt>
                <c:pt idx="45" formatCode="General">
                  <c:v>2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9662-43F0-94BD-B32FEB4F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7824"/>
        <c:axId val="197268216"/>
        <c:extLst/>
      </c:scatterChart>
      <c:scatterChart>
        <c:scatterStyle val="smoothMarker"/>
        <c:varyColors val="0"/>
        <c:ser>
          <c:idx val="5"/>
          <c:order val="2"/>
          <c:tx>
            <c:v>средняя площадь, кв.саж.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лесные_склады!$A$6:$A$55</c:f>
              <c:numCache>
                <c:formatCode>General</c:formatCode>
                <c:ptCount val="50"/>
                <c:pt idx="0">
                  <c:v>1859</c:v>
                </c:pt>
                <c:pt idx="1">
                  <c:v>1860</c:v>
                </c:pt>
                <c:pt idx="2">
                  <c:v>1861</c:v>
                </c:pt>
                <c:pt idx="3">
                  <c:v>1862</c:v>
                </c:pt>
                <c:pt idx="4">
                  <c:v>1863</c:v>
                </c:pt>
                <c:pt idx="5">
                  <c:v>1864</c:v>
                </c:pt>
                <c:pt idx="6">
                  <c:v>1865</c:v>
                </c:pt>
                <c:pt idx="7">
                  <c:v>1866</c:v>
                </c:pt>
                <c:pt idx="8">
                  <c:v>1867</c:v>
                </c:pt>
                <c:pt idx="9">
                  <c:v>1868</c:v>
                </c:pt>
                <c:pt idx="10">
                  <c:v>1869</c:v>
                </c:pt>
                <c:pt idx="11">
                  <c:v>1870</c:v>
                </c:pt>
                <c:pt idx="12">
                  <c:v>1871</c:v>
                </c:pt>
                <c:pt idx="13">
                  <c:v>1872</c:v>
                </c:pt>
                <c:pt idx="14">
                  <c:v>1873</c:v>
                </c:pt>
                <c:pt idx="15">
                  <c:v>1874</c:v>
                </c:pt>
                <c:pt idx="16">
                  <c:v>1875</c:v>
                </c:pt>
                <c:pt idx="17">
                  <c:v>1876</c:v>
                </c:pt>
                <c:pt idx="18">
                  <c:v>1877</c:v>
                </c:pt>
                <c:pt idx="19">
                  <c:v>1878</c:v>
                </c:pt>
                <c:pt idx="20">
                  <c:v>1879</c:v>
                </c:pt>
                <c:pt idx="21">
                  <c:v>1880</c:v>
                </c:pt>
                <c:pt idx="22">
                  <c:v>1881</c:v>
                </c:pt>
                <c:pt idx="23">
                  <c:v>1882</c:v>
                </c:pt>
                <c:pt idx="24">
                  <c:v>1889</c:v>
                </c:pt>
                <c:pt idx="25">
                  <c:v>1890</c:v>
                </c:pt>
                <c:pt idx="26">
                  <c:v>1891</c:v>
                </c:pt>
                <c:pt idx="27">
                  <c:v>1892</c:v>
                </c:pt>
                <c:pt idx="28">
                  <c:v>1893</c:v>
                </c:pt>
                <c:pt idx="29">
                  <c:v>1894</c:v>
                </c:pt>
                <c:pt idx="30">
                  <c:v>1895</c:v>
                </c:pt>
                <c:pt idx="31">
                  <c:v>1896</c:v>
                </c:pt>
                <c:pt idx="32">
                  <c:v>1897</c:v>
                </c:pt>
                <c:pt idx="33">
                  <c:v>1898</c:v>
                </c:pt>
                <c:pt idx="34">
                  <c:v>1899</c:v>
                </c:pt>
                <c:pt idx="35">
                  <c:v>1900</c:v>
                </c:pt>
                <c:pt idx="36">
                  <c:v>1901</c:v>
                </c:pt>
                <c:pt idx="37">
                  <c:v>1902</c:v>
                </c:pt>
                <c:pt idx="38">
                  <c:v>1903</c:v>
                </c:pt>
                <c:pt idx="39">
                  <c:v>1904</c:v>
                </c:pt>
                <c:pt idx="40">
                  <c:v>1905</c:v>
                </c:pt>
                <c:pt idx="41">
                  <c:v>1906</c:v>
                </c:pt>
                <c:pt idx="42">
                  <c:v>1907</c:v>
                </c:pt>
                <c:pt idx="43">
                  <c:v>1908</c:v>
                </c:pt>
                <c:pt idx="44">
                  <c:v>1909</c:v>
                </c:pt>
                <c:pt idx="45">
                  <c:v>1910</c:v>
                </c:pt>
                <c:pt idx="46">
                  <c:v>1911</c:v>
                </c:pt>
                <c:pt idx="47">
                  <c:v>1912</c:v>
                </c:pt>
                <c:pt idx="48">
                  <c:v>1913</c:v>
                </c:pt>
                <c:pt idx="49">
                  <c:v>1914</c:v>
                </c:pt>
              </c:numCache>
              <c:extLst xmlns:c15="http://schemas.microsoft.com/office/drawing/2012/chart"/>
            </c:numRef>
          </c:xVal>
          <c:yVal>
            <c:numRef>
              <c:f>лесные_склады!$C$6:$C$55</c:f>
              <c:numCache>
                <c:formatCode>0.0</c:formatCode>
                <c:ptCount val="5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 formatCode="General">
                  <c:v>1200</c:v>
                </c:pt>
                <c:pt idx="12" formatCode="General">
                  <c:v>1200</c:v>
                </c:pt>
                <c:pt idx="13" formatCode="General">
                  <c:v>1200</c:v>
                </c:pt>
                <c:pt idx="14" formatCode="General">
                  <c:v>1200</c:v>
                </c:pt>
                <c:pt idx="15" formatCode="General">
                  <c:v>1200</c:v>
                </c:pt>
                <c:pt idx="16" formatCode="General">
                  <c:v>1200</c:v>
                </c:pt>
                <c:pt idx="17" formatCode="General">
                  <c:v>1200</c:v>
                </c:pt>
                <c:pt idx="18" formatCode="General">
                  <c:v>1200</c:v>
                </c:pt>
                <c:pt idx="19" formatCode="General">
                  <c:v>1200</c:v>
                </c:pt>
                <c:pt idx="20" formatCode="General">
                  <c:v>1200</c:v>
                </c:pt>
                <c:pt idx="21" formatCode="General">
                  <c:v>1200</c:v>
                </c:pt>
                <c:pt idx="22" formatCode="General">
                  <c:v>1200</c:v>
                </c:pt>
                <c:pt idx="23" formatCode="General">
                  <c:v>1200</c:v>
                </c:pt>
                <c:pt idx="24" formatCode="0">
                  <c:v>1106.4375</c:v>
                </c:pt>
                <c:pt idx="25" formatCode="0">
                  <c:v>1106.4375</c:v>
                </c:pt>
                <c:pt idx="26" formatCode="0">
                  <c:v>1106.4375</c:v>
                </c:pt>
                <c:pt idx="27" formatCode="0">
                  <c:v>1089.4666666666667</c:v>
                </c:pt>
                <c:pt idx="28" formatCode="0">
                  <c:v>1089.4666666666667</c:v>
                </c:pt>
                <c:pt idx="29" formatCode="0">
                  <c:v>1022.6666666666666</c:v>
                </c:pt>
                <c:pt idx="30" formatCode="0">
                  <c:v>1022.6666666666666</c:v>
                </c:pt>
                <c:pt idx="31" formatCode="0">
                  <c:v>1022.6666666666666</c:v>
                </c:pt>
                <c:pt idx="32" formatCode="0">
                  <c:v>914.26666666666665</c:v>
                </c:pt>
                <c:pt idx="33" formatCode="0">
                  <c:v>961.71428571428567</c:v>
                </c:pt>
                <c:pt idx="34" formatCode="0">
                  <c:v>961.71428571428567</c:v>
                </c:pt>
                <c:pt idx="35" formatCode="General">
                  <c:v>3240</c:v>
                </c:pt>
                <c:pt idx="36" formatCode="0">
                  <c:v>2826.6666666666665</c:v>
                </c:pt>
                <c:pt idx="37" formatCode="0">
                  <c:v>2626.25</c:v>
                </c:pt>
                <c:pt idx="38" formatCode="0">
                  <c:v>2626.25</c:v>
                </c:pt>
                <c:pt idx="39" formatCode="General">
                  <c:v>2236</c:v>
                </c:pt>
                <c:pt idx="40" formatCode="General">
                  <c:v>2236</c:v>
                </c:pt>
                <c:pt idx="41" formatCode="0">
                  <c:v>1566.6666666666667</c:v>
                </c:pt>
                <c:pt idx="42" formatCode="General">
                  <c:v>1350</c:v>
                </c:pt>
                <c:pt idx="43" formatCode="General">
                  <c:v>675</c:v>
                </c:pt>
                <c:pt idx="44" formatCode="General">
                  <c:v>675</c:v>
                </c:pt>
                <c:pt idx="45" formatCode="General">
                  <c:v>675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2-9662-43F0-94BD-B32FEB4F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683408"/>
        <c:axId val="251683016"/>
        <c:extLst/>
      </c:scatterChart>
      <c:valAx>
        <c:axId val="1972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268216"/>
        <c:crosses val="autoZero"/>
        <c:crossBetween val="midCat"/>
        <c:majorUnit val="5"/>
      </c:valAx>
      <c:valAx>
        <c:axId val="197268216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чел., лет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267824"/>
        <c:crosses val="autoZero"/>
        <c:crossBetween val="midCat"/>
      </c:valAx>
      <c:valAx>
        <c:axId val="251683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кв.саж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683408"/>
        <c:crosses val="max"/>
        <c:crossBetween val="midCat"/>
      </c:valAx>
      <c:valAx>
        <c:axId val="25168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68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015676503123"/>
          <c:y val="0.45129920042474703"/>
          <c:w val="0.18988790055417989"/>
          <c:h val="0.54762368394542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alpha val="93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34019</xdr:colOff>
      <xdr:row>6</xdr:row>
      <xdr:rowOff>4082</xdr:rowOff>
    </xdr:from>
    <xdr:to>
      <xdr:col>9</xdr:col>
      <xdr:colOff>834119</xdr:colOff>
      <xdr:row>18</xdr:row>
      <xdr:rowOff>296181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25250</xdr:colOff>
      <xdr:row>18</xdr:row>
      <xdr:rowOff>315082</xdr:rowOff>
    </xdr:from>
    <xdr:to>
      <xdr:col>10</xdr:col>
      <xdr:colOff>14666</xdr:colOff>
      <xdr:row>28</xdr:row>
      <xdr:rowOff>315081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23132</xdr:colOff>
      <xdr:row>28</xdr:row>
      <xdr:rowOff>322489</xdr:rowOff>
    </xdr:from>
    <xdr:to>
      <xdr:col>10</xdr:col>
      <xdr:colOff>9826</xdr:colOff>
      <xdr:row>39</xdr:row>
      <xdr:rowOff>322488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tabSelected="1" workbookViewId="0"/>
  </sheetViews>
  <sheetFormatPr defaultColWidth="9.1796875" defaultRowHeight="15.5" x14ac:dyDescent="0.35"/>
  <cols>
    <col min="1" max="1" width="9.1796875" style="23"/>
    <col min="2" max="2" width="18" style="23" customWidth="1"/>
    <col min="3" max="3" width="17.36328125" style="23" customWidth="1"/>
    <col min="4" max="4" width="19.6328125" style="23" customWidth="1"/>
    <col min="5" max="5" width="15" style="23" customWidth="1"/>
    <col min="6" max="6" width="14.453125" style="23" customWidth="1"/>
    <col min="7" max="7" width="13.36328125" style="23" customWidth="1"/>
    <col min="8" max="8" width="18.1796875" style="23" customWidth="1"/>
    <col min="9" max="9" width="25" style="23" customWidth="1"/>
    <col min="10" max="16384" width="9.1796875" style="23"/>
  </cols>
  <sheetData>
    <row r="1" spans="1:10" s="24" customFormat="1" ht="18.5" x14ac:dyDescent="0.45">
      <c r="A1" s="25" t="s">
        <v>143</v>
      </c>
    </row>
    <row r="2" spans="1:10" s="24" customFormat="1" x14ac:dyDescent="0.35"/>
    <row r="3" spans="1:10" s="24" customFormat="1" ht="18.5" x14ac:dyDescent="0.45">
      <c r="A3" s="25" t="s">
        <v>124</v>
      </c>
    </row>
    <row r="4" spans="1:10" ht="18.5" x14ac:dyDescent="0.45">
      <c r="A4" s="26" t="s">
        <v>15</v>
      </c>
    </row>
    <row r="5" spans="1:10" s="47" customFormat="1" ht="64" customHeight="1" x14ac:dyDescent="0.45">
      <c r="A5" s="54" t="s">
        <v>129</v>
      </c>
      <c r="B5" s="47" t="s">
        <v>130</v>
      </c>
      <c r="C5" s="47" t="s">
        <v>127</v>
      </c>
      <c r="D5" s="47" t="s">
        <v>119</v>
      </c>
      <c r="E5" s="47" t="s">
        <v>120</v>
      </c>
      <c r="F5" s="47" t="s">
        <v>128</v>
      </c>
      <c r="G5" s="47" t="s">
        <v>121</v>
      </c>
      <c r="H5" s="47" t="s">
        <v>122</v>
      </c>
      <c r="I5" s="47" t="s">
        <v>123</v>
      </c>
      <c r="J5" s="24" t="s">
        <v>139</v>
      </c>
    </row>
    <row r="6" spans="1:10" ht="90" customHeight="1" x14ac:dyDescent="0.35">
      <c r="A6" s="55" t="s">
        <v>3</v>
      </c>
      <c r="B6" s="28" t="s">
        <v>9</v>
      </c>
      <c r="C6" s="28"/>
      <c r="D6" s="28" t="s">
        <v>10</v>
      </c>
      <c r="E6" s="28" t="s">
        <v>11</v>
      </c>
      <c r="F6" s="28" t="s">
        <v>12</v>
      </c>
      <c r="G6" s="28" t="s">
        <v>13</v>
      </c>
      <c r="H6" s="28" t="s">
        <v>14</v>
      </c>
      <c r="I6" s="28" t="s">
        <v>57</v>
      </c>
    </row>
    <row r="7" spans="1:10" x14ac:dyDescent="0.35">
      <c r="A7" s="47">
        <v>1859</v>
      </c>
      <c r="B7" s="48">
        <f>AVERAGE(0.03,0.03)*100/83.5</f>
        <v>3.5928143712574849E-2</v>
      </c>
      <c r="C7" s="50">
        <f>AVERAGE(0.03,0.03)</f>
        <v>0.03</v>
      </c>
      <c r="D7" s="23">
        <f>AVERAGE(2400, 4718)</f>
        <v>3559</v>
      </c>
      <c r="E7" s="34">
        <f>SUM(2400, 4718)</f>
        <v>7118</v>
      </c>
      <c r="F7" s="30">
        <f>AVERAGE(12,10)</f>
        <v>11</v>
      </c>
      <c r="G7" s="23">
        <v>2</v>
      </c>
    </row>
    <row r="8" spans="1:10" x14ac:dyDescent="0.35">
      <c r="A8" s="47">
        <v>1860</v>
      </c>
      <c r="B8" s="48">
        <f>AVERAGE(0.03,0.03)*100/94.4</f>
        <v>3.1779661016949151E-2</v>
      </c>
      <c r="C8" s="50">
        <f>AVERAGE(0.03,0.03)</f>
        <v>0.03</v>
      </c>
      <c r="D8" s="23">
        <f>AVERAGE(2400, 4718)</f>
        <v>3559</v>
      </c>
      <c r="E8" s="34">
        <f>SUM(2400, 4718)</f>
        <v>7118</v>
      </c>
      <c r="F8" s="30">
        <f>AVERAGE(12,10)</f>
        <v>11</v>
      </c>
      <c r="G8" s="23">
        <v>2</v>
      </c>
    </row>
    <row r="9" spans="1:10" x14ac:dyDescent="0.35">
      <c r="A9" s="47">
        <v>1861</v>
      </c>
      <c r="B9" s="48">
        <f>AVERAGE(0.03,0.03)*100/88.7</f>
        <v>3.3821871476888386E-2</v>
      </c>
      <c r="C9" s="50">
        <f>AVERAGE(0.03,0.03)</f>
        <v>0.03</v>
      </c>
      <c r="D9" s="23">
        <f>AVERAGE(2400, 4718)</f>
        <v>3559</v>
      </c>
      <c r="E9" s="34">
        <f>SUM(2400, 4718)</f>
        <v>7118</v>
      </c>
      <c r="F9" s="30">
        <f>AVERAGE(12,10)</f>
        <v>11</v>
      </c>
      <c r="G9" s="23">
        <v>2</v>
      </c>
    </row>
    <row r="10" spans="1:10" x14ac:dyDescent="0.35">
      <c r="A10" s="47">
        <v>1862</v>
      </c>
      <c r="B10" s="48">
        <f>AVERAGE(0.03,0.03, 0.04)*100/85.5</f>
        <v>3.8986354775828465E-2</v>
      </c>
      <c r="C10" s="50">
        <f>AVERAGE(0.03,0.03, 0.04)</f>
        <v>3.3333333333333333E-2</v>
      </c>
      <c r="D10" s="31">
        <f>AVERAGE(2400, 4718, 2400)</f>
        <v>3172.6666666666665</v>
      </c>
      <c r="E10" s="34">
        <f>SUM(2400, 4718, 2400)</f>
        <v>9518</v>
      </c>
      <c r="F10" s="30">
        <f>AVERAGE(12,10,12)</f>
        <v>11.333333333333334</v>
      </c>
      <c r="G10" s="23">
        <v>3</v>
      </c>
    </row>
    <row r="11" spans="1:10" x14ac:dyDescent="0.35">
      <c r="A11" s="47">
        <v>1863</v>
      </c>
      <c r="B11" s="48">
        <f>AVERAGE(0.03,0.03, 0.04)*100/98.2</f>
        <v>3.3944331296673458E-2</v>
      </c>
      <c r="C11" s="50">
        <f>AVERAGE(0.03,0.03, 0.04)</f>
        <v>3.3333333333333333E-2</v>
      </c>
      <c r="D11" s="31">
        <f>AVERAGE(2400, 4718, 2400)</f>
        <v>3172.6666666666665</v>
      </c>
      <c r="E11" s="34">
        <f>SUM(2400, 4718, 2400)</f>
        <v>9518</v>
      </c>
      <c r="F11" s="30">
        <f>AVERAGE(12,10,12)</f>
        <v>11.333333333333334</v>
      </c>
      <c r="G11" s="23">
        <v>3</v>
      </c>
    </row>
    <row r="12" spans="1:10" x14ac:dyDescent="0.35">
      <c r="A12" s="47">
        <v>1864</v>
      </c>
      <c r="B12" s="48">
        <f>AVERAGE(0.03,0.03, 0.04, 0.06)*100/77.3</f>
        <v>5.1746442432082797E-2</v>
      </c>
      <c r="C12" s="50">
        <f>AVERAGE(0.03,0.03, 0.04, 0.06)</f>
        <v>0.04</v>
      </c>
      <c r="D12" s="31">
        <f>AVERAGE(2400, 4718, 2400,750)</f>
        <v>2567</v>
      </c>
      <c r="E12" s="34">
        <f>SUM(2400, 4718, 2400,750)</f>
        <v>10268</v>
      </c>
      <c r="F12" s="30">
        <f>AVERAGE(12,10,12,5)</f>
        <v>9.75</v>
      </c>
      <c r="G12" s="23">
        <v>4</v>
      </c>
    </row>
    <row r="13" spans="1:10" x14ac:dyDescent="0.35">
      <c r="A13" s="47">
        <v>1865</v>
      </c>
      <c r="B13" s="48">
        <f>AVERAGE(0.03,0.03, 0.04, 0.06, 0.01,0.04)*100/81.8</f>
        <v>4.2787286063569692E-2</v>
      </c>
      <c r="C13" s="50">
        <f>AVERAGE(0.03,0.03, 0.04, 0.06, 0.01,0.04)</f>
        <v>3.5000000000000003E-2</v>
      </c>
      <c r="D13" s="31">
        <f>AVERAGE(2400, 4718, 2400,750,4000,2000)</f>
        <v>2711.3333333333335</v>
      </c>
      <c r="E13" s="34">
        <f>SUM(2400, 4718, 2400,750,4000,2000)</f>
        <v>16268</v>
      </c>
      <c r="F13" s="30">
        <f>AVERAGE(12,10,12,5,5,12)</f>
        <v>9.3333333333333339</v>
      </c>
      <c r="G13" s="23">
        <v>6</v>
      </c>
    </row>
    <row r="14" spans="1:10" x14ac:dyDescent="0.35">
      <c r="A14" s="47">
        <v>1866</v>
      </c>
      <c r="B14" s="48">
        <f>AVERAGE(0.03,0.03, 0.04, 0.06, 0.01,0.04)*100/68</f>
        <v>5.1470588235294122E-2</v>
      </c>
      <c r="C14" s="50">
        <f>AVERAGE(0.03,0.03, 0.04, 0.06, 0.01,0.04)</f>
        <v>3.5000000000000003E-2</v>
      </c>
      <c r="D14" s="31">
        <f>AVERAGE(2400, 4718, 2400,750,4000,2000)</f>
        <v>2711.3333333333335</v>
      </c>
      <c r="E14" s="34">
        <f>SUM(2400, 4718, 2400,750,4000,2000)</f>
        <v>16268</v>
      </c>
      <c r="F14" s="30">
        <f>AVERAGE(12,10,12,5,5,12)</f>
        <v>9.3333333333333339</v>
      </c>
      <c r="G14" s="23">
        <v>6</v>
      </c>
    </row>
    <row r="15" spans="1:10" x14ac:dyDescent="0.35">
      <c r="A15" s="47">
        <v>1867</v>
      </c>
      <c r="B15" s="48">
        <f>AVERAGE(0.03,0.03, 0.04, 0.06, 0.01,0.04)*100/90.7</f>
        <v>3.8588754134509372E-2</v>
      </c>
      <c r="C15" s="50">
        <f>AVERAGE(0.03,0.03, 0.04, 0.06, 0.01,0.04)</f>
        <v>3.5000000000000003E-2</v>
      </c>
      <c r="D15" s="31">
        <f>AVERAGE(2400, 4718, 2400,750,4000,2000)</f>
        <v>2711.3333333333335</v>
      </c>
      <c r="E15" s="34">
        <f>SUM(2400, 4718, 2400,750,4000,2000)</f>
        <v>16268</v>
      </c>
      <c r="F15" s="30">
        <f>AVERAGE(12,10,12,5,5,12)</f>
        <v>9.3333333333333339</v>
      </c>
      <c r="G15" s="23">
        <v>6</v>
      </c>
    </row>
    <row r="16" spans="1:10" x14ac:dyDescent="0.35">
      <c r="A16" s="47">
        <v>1868</v>
      </c>
      <c r="B16" s="48">
        <f>AVERAGE(0.03,0.03, 0.04, 0.06, 0.01,0.04,0.08)*100/85.5</f>
        <v>4.845446950710109E-2</v>
      </c>
      <c r="C16" s="50">
        <f>AVERAGE(0.03,0.03, 0.04, 0.06, 0.01,0.04,0.08)</f>
        <v>4.1428571428571433E-2</v>
      </c>
      <c r="D16" s="31">
        <f>AVERAGE(2400, 4718, 2400,750,4000,2000,1600)</f>
        <v>2552.5714285714284</v>
      </c>
      <c r="E16" s="34">
        <f>SUM(2400, 4718, 2400,750,4000,2000,1600)</f>
        <v>17868</v>
      </c>
      <c r="F16" s="30">
        <f>AVERAGE(12,10,12,5,5,12,1)</f>
        <v>8.1428571428571423</v>
      </c>
      <c r="G16" s="23">
        <v>8</v>
      </c>
    </row>
    <row r="17" spans="1:7" x14ac:dyDescent="0.35">
      <c r="A17" s="47">
        <v>1869</v>
      </c>
      <c r="B17" s="48">
        <f>AVERAGE(0.03,0.03, 0.04, 0.06, 0.01,0.04,0.03)*100/76.4</f>
        <v>4.4876589379207181E-2</v>
      </c>
      <c r="C17" s="50">
        <f>AVERAGE(0.03,0.03, 0.04, 0.06, 0.01,0.04,0.03)</f>
        <v>3.4285714285714287E-2</v>
      </c>
      <c r="D17" s="31">
        <f>AVERAGE(2400, 4718, 2400,750,4000,2000,5600)</f>
        <v>3124</v>
      </c>
      <c r="E17" s="34">
        <f>SUM(2400, 4718, 2400,750,4000,2000,5600)</f>
        <v>21868</v>
      </c>
      <c r="F17" s="30">
        <f>AVERAGE(12,10,12,5,5,12,6)</f>
        <v>8.8571428571428577</v>
      </c>
      <c r="G17" s="23">
        <v>7</v>
      </c>
    </row>
    <row r="18" spans="1:7" x14ac:dyDescent="0.35">
      <c r="A18" s="47">
        <v>1870</v>
      </c>
      <c r="B18" s="48">
        <f>AVERAGE(0.03,0.03, 0.04, 0.06, 0.01,0.04,0.03,0.04,0.02,0.03)*100/77.7</f>
        <v>4.2471042471042476E-2</v>
      </c>
      <c r="C18" s="50">
        <f>AVERAGE(0.03,0.03, 0.04, 0.06, 0.01,0.04,0.03,0.04,0.02,0.03)</f>
        <v>3.3000000000000008E-2</v>
      </c>
      <c r="D18" s="31">
        <f>AVERAGE(2400, 4718, 2400,750,4000,2000,5600,1065,3000,4718)</f>
        <v>3065.1</v>
      </c>
      <c r="E18" s="34">
        <f>SUM(2400, 4718, 2400,750,4000,2000,5600,1065,3000,4718)</f>
        <v>30651</v>
      </c>
      <c r="F18" s="30">
        <f>AVERAGE(12,10,12,5,5,12,6,3,3,6)</f>
        <v>7.4</v>
      </c>
      <c r="G18" s="23">
        <v>10</v>
      </c>
    </row>
    <row r="19" spans="1:7" x14ac:dyDescent="0.35">
      <c r="A19" s="47">
        <v>1871</v>
      </c>
      <c r="B19" s="48">
        <f>AVERAGE(0.03, 0.03, 0.04, 0.04, 0.03, 0.04, 0.02, 0.03, 0.06)*100/85.2</f>
        <v>4.1731872717788207E-2</v>
      </c>
      <c r="C19" s="50">
        <f>AVERAGE(0.03, 0.03, 0.04, 0.04, 0.03, 0.04, 0.02, 0.03, 0.06)</f>
        <v>3.5555555555555556E-2</v>
      </c>
      <c r="D19" s="31">
        <f>AVERAGE(2400, 4718, 2400,750,4000,2000,5600,1065,3000,4718,3000)</f>
        <v>3059.181818181818</v>
      </c>
      <c r="E19" s="34">
        <f>SUM(2400, 4718, 2400,750,4000,2000,5600,1065,3000,4718,3000)</f>
        <v>33651</v>
      </c>
      <c r="F19" s="30">
        <f>AVERAGE(12, 10, 12, 12, 6, 3, 3, 6, 10)</f>
        <v>8.2222222222222214</v>
      </c>
      <c r="G19" s="23">
        <v>9</v>
      </c>
    </row>
    <row r="20" spans="1:7" x14ac:dyDescent="0.35">
      <c r="A20" s="47">
        <v>1872</v>
      </c>
      <c r="B20" s="48">
        <f>AVERAGE(0.03, 0.04, 0.04, 0.03, 0.04, 0.02, 0.03, 0.06, 0.08)*100/85.1</f>
        <v>4.8309178743961359E-2</v>
      </c>
      <c r="C20" s="50">
        <f>AVERAGE(0.03, 0.04, 0.04, 0.03, 0.04, 0.02, 0.03, 0.06, 0.08)</f>
        <v>4.1111111111111119E-2</v>
      </c>
      <c r="D20" s="31">
        <f>AVERAGE(4718, 2400, 2000, 5600, 1065, 3000, 4718, 3000, 564.5)</f>
        <v>3007.2777777777778</v>
      </c>
      <c r="E20" s="34">
        <f>SUM(2400, 4718, 2400,750,4000,2000,5600,1065,3000,4718,3000)</f>
        <v>33651</v>
      </c>
      <c r="F20" s="30">
        <f>AVERAGE(10, 12, 12, 6, 3, 3, 6, 10, 2)</f>
        <v>7.1111111111111107</v>
      </c>
      <c r="G20" s="23">
        <v>9</v>
      </c>
    </row>
    <row r="21" spans="1:7" x14ac:dyDescent="0.35">
      <c r="A21" s="47">
        <v>1873</v>
      </c>
      <c r="B21" s="48">
        <f>AVERAGE(0.03, 0.04, 0.04, 0.03, 0.04, 0.02, 0.03, 0.06, 0.08, 0.08, 0.08)*100/84.4</f>
        <v>5.7087462300732444E-2</v>
      </c>
      <c r="C21" s="50">
        <f>AVERAGE(0.03, 0.04, 0.04, 0.03, 0.04, 0.02, 0.03, 0.06, 0.08, 0.08, 0.08)</f>
        <v>4.8181818181818187E-2</v>
      </c>
      <c r="D21" s="31">
        <f>AVERAGE(4718, 2400, 2000, 5600, 1500, 3000, 4718, 3000, 564.5, 474.5, 600)</f>
        <v>2597.7272727272725</v>
      </c>
      <c r="E21" s="34">
        <f>SUM(4718, 2400, 2000, 5600, 1500, 3000, 4718, 3000, 564.5, 474.5, 600)</f>
        <v>28575</v>
      </c>
      <c r="F21" s="30">
        <f>AVERAGE(10, 12, 12, 6, 15, 3, 6, 10, 2, 1, 10)</f>
        <v>7.9090909090909092</v>
      </c>
      <c r="G21" s="23">
        <v>11</v>
      </c>
    </row>
    <row r="22" spans="1:7" x14ac:dyDescent="0.35">
      <c r="A22" s="47">
        <v>1874</v>
      </c>
      <c r="B22" s="48">
        <f>AVERAGE(0.03, 0.04, 0.04, 0.03, 0.04, 0.02, 0.03, 0.06, 0.08, 0.08, 0.08, 0.04, 0.04)*100/86.8</f>
        <v>5.4058844381425032E-2</v>
      </c>
      <c r="C22" s="50">
        <f>AVERAGE(0.03, 0.04, 0.04, 0.03, 0.04, 0.02, 0.03, 0.06, 0.08, 0.08, 0.08, 0.04, 0.04)</f>
        <v>4.6923076923076928E-2</v>
      </c>
      <c r="D22" s="31">
        <f>AVERAGE(4718, 2400, 2000, 5600, 1500, 3000, 4718, 3000, 474.5, 600, 2400, 1867)</f>
        <v>2689.7916666666665</v>
      </c>
      <c r="E22" s="33">
        <f>SUM(4718, 2400, 2000, 5600, 1500, 3000, 4718, 3000, 474.5, 600, 2400, 1867)</f>
        <v>32277.5</v>
      </c>
      <c r="F22" s="30">
        <f>AVERAGE(10, 12, 12, 6, 15, 3, 6, 10, 1, 10, 6, 1)</f>
        <v>7.666666666666667</v>
      </c>
      <c r="G22" s="23">
        <v>12</v>
      </c>
    </row>
    <row r="23" spans="1:7" x14ac:dyDescent="0.35">
      <c r="A23" s="47">
        <v>1875</v>
      </c>
      <c r="B23" s="48">
        <f>AVERAGE(0.03, 0.04, 0.03, 0.02, 0.03, 0.06, 0.08, 0.04, 0.05, 0.1)*100/85.8</f>
        <v>5.5944055944055944E-2</v>
      </c>
      <c r="C23" s="50">
        <f>AVERAGE(0.03, 0.04, 0.03, 0.02, 0.03, 0.06, 0.08, 0.04, 0.05, 0.1)</f>
        <v>4.8000000000000001E-2</v>
      </c>
      <c r="D23" s="31">
        <f>AVERAGE(4718, 2000, 5600, 3000, 4718, 3000, 600, 2400, 1065, 600)</f>
        <v>2770.1</v>
      </c>
      <c r="E23" s="34">
        <f>SUM(4718, 2000, 5600, 3000, 4718, 3000, 600, 2400, 1065, 600)</f>
        <v>27701</v>
      </c>
      <c r="F23" s="30">
        <f>AVERAGE(6, 12, 6, 3, 6, 10, 10, 6, 1, 3)</f>
        <v>6.3</v>
      </c>
      <c r="G23" s="23">
        <v>10</v>
      </c>
    </row>
    <row r="24" spans="1:7" x14ac:dyDescent="0.35">
      <c r="A24" s="47">
        <v>1876</v>
      </c>
      <c r="B24" s="48">
        <f>AVERAGE(0.03, 0.04, 0.06, 0.08, 0.04, 0.1)*100/80.6</f>
        <v>7.2373862696443345E-2</v>
      </c>
      <c r="C24" s="50">
        <f>AVERAGE(0.03, 0.04, 0.06, 0.08, 0.04, 0.1)</f>
        <v>5.8333333333333327E-2</v>
      </c>
      <c r="D24" s="31">
        <f>AVERAGE(4718, 2000, 3000, 600, 2400, 600)</f>
        <v>2219.6666666666665</v>
      </c>
      <c r="E24" s="34">
        <f>SUM(4718, 2000, 3000, 600, 2400, 600)</f>
        <v>13318</v>
      </c>
      <c r="F24" s="30">
        <f>AVERAGE(6, 12, 10, 10, 6, 3)</f>
        <v>7.833333333333333</v>
      </c>
      <c r="G24" s="23">
        <v>6</v>
      </c>
    </row>
    <row r="25" spans="1:7" x14ac:dyDescent="0.35">
      <c r="A25" s="47">
        <v>1877</v>
      </c>
      <c r="B25" s="48">
        <f>AVERAGE(0.06, 0.08, 0.04, 0.1, 0.1, 0.06)*100/67.4</f>
        <v>0.10880316518298713</v>
      </c>
      <c r="C25" s="50">
        <f>AVERAGE(0.06, 0.08, 0.04, 0.1, 0.1, 0.06)</f>
        <v>7.3333333333333334E-2</v>
      </c>
      <c r="D25" s="31">
        <f>AVERAGE(3000, 600, 2400, 600, 4800, 4800)</f>
        <v>2700</v>
      </c>
      <c r="E25" s="34">
        <f>SUM(3000, 600, 2400, 600, 4800, 4800)</f>
        <v>16200</v>
      </c>
      <c r="F25" s="30">
        <f>AVERAGE(10, 10, 6, 3, 8, 12)</f>
        <v>8.1666666666666661</v>
      </c>
      <c r="G25" s="23">
        <v>6</v>
      </c>
    </row>
    <row r="26" spans="1:7" x14ac:dyDescent="0.35">
      <c r="A26" s="47">
        <v>1878</v>
      </c>
      <c r="B26" s="48">
        <f>AVERAGE(0.06, 0.08, 0.04, 0.1, 0.06)*100/64.6</f>
        <v>0.10526315789473686</v>
      </c>
      <c r="C26" s="50">
        <f>AVERAGE(0.06, 0.08, 0.04, 0.1, 0.06)</f>
        <v>6.8000000000000005E-2</v>
      </c>
      <c r="D26" s="31">
        <f>AVERAGE(3000, 600, 2400, 4800, 4800)</f>
        <v>3120</v>
      </c>
      <c r="E26" s="34">
        <f>SUM(3000, 600, 2400, 4800, 4800)</f>
        <v>15600</v>
      </c>
      <c r="F26" s="30">
        <f>AVERAGE(10, 10, 6, 8, 12)</f>
        <v>9.1999999999999993</v>
      </c>
      <c r="G26" s="23">
        <v>5</v>
      </c>
    </row>
    <row r="27" spans="1:7" x14ac:dyDescent="0.35">
      <c r="A27" s="47">
        <v>1879</v>
      </c>
      <c r="B27" s="48">
        <f>AVERAGE(0.06, 0.08, 0.04, 0.1, 0.06)*100/63.1</f>
        <v>0.10776545166402536</v>
      </c>
      <c r="C27" s="50">
        <f>AVERAGE(0.06, 0.08, 0.04, 0.1, 0.06)</f>
        <v>6.8000000000000005E-2</v>
      </c>
      <c r="D27" s="31">
        <f>AVERAGE(3000, 600, 2400, 4800, 4800)</f>
        <v>3120</v>
      </c>
      <c r="E27" s="34">
        <f>SUM(3000, 600, 2400, 4800, 4800)</f>
        <v>15600</v>
      </c>
      <c r="F27" s="30">
        <f>AVERAGE(10, 10, 6, 8, 12)</f>
        <v>9.1999999999999993</v>
      </c>
      <c r="G27" s="23">
        <v>5</v>
      </c>
    </row>
    <row r="28" spans="1:7" x14ac:dyDescent="0.35">
      <c r="A28" s="47">
        <v>1880</v>
      </c>
      <c r="B28" s="48">
        <f>AVERAGE(0.06, 0.08,0.1, 0.06)*100/64.4</f>
        <v>0.11645962732919254</v>
      </c>
      <c r="C28" s="50">
        <f>AVERAGE(0.06, 0.08,0.1, 0.06)</f>
        <v>7.5000000000000011E-2</v>
      </c>
      <c r="D28" s="31">
        <f>AVERAGE(3000, 600, 4800, 4800)</f>
        <v>3300</v>
      </c>
      <c r="E28" s="34">
        <f>SUM(3000, 600,4800, 4800)</f>
        <v>13200</v>
      </c>
      <c r="F28" s="30">
        <f>AVERAGE(10, 10, 8, 12)</f>
        <v>10</v>
      </c>
      <c r="G28" s="23">
        <v>4</v>
      </c>
    </row>
    <row r="29" spans="1:7" x14ac:dyDescent="0.35">
      <c r="A29" s="47">
        <v>1881</v>
      </c>
      <c r="B29" s="48">
        <f>AVERAGE(0.08,0.1, 0.06)*100/65.7</f>
        <v>0.12176560121765601</v>
      </c>
      <c r="C29" s="50">
        <f>AVERAGE(0.08,0.1, 0.06)</f>
        <v>0.08</v>
      </c>
      <c r="D29" s="31">
        <f>AVERAGE(600, 4800, 4800)</f>
        <v>3400</v>
      </c>
      <c r="E29" s="34">
        <f>SUM(600,4800, 4800)</f>
        <v>10200</v>
      </c>
      <c r="F29" s="30">
        <f>AVERAGE(10, 8, 12)</f>
        <v>10</v>
      </c>
      <c r="G29" s="23">
        <v>3</v>
      </c>
    </row>
    <row r="30" spans="1:7" x14ac:dyDescent="0.35">
      <c r="A30" s="47">
        <v>1882</v>
      </c>
      <c r="B30" s="48">
        <f>AVERAGE(0.08,0.1, 0.06,0.12)*100/63.1</f>
        <v>0.14263074484944532</v>
      </c>
      <c r="C30" s="50">
        <f>AVERAGE(0.08,0.1, 0.06,0.12)</f>
        <v>0.09</v>
      </c>
      <c r="D30" s="31">
        <f>AVERAGE(600, 4800, 4800,415)</f>
        <v>2653.75</v>
      </c>
      <c r="E30" s="34">
        <f>SUM(600,4800, 4800,415)</f>
        <v>10615</v>
      </c>
      <c r="F30" s="30">
        <f>AVERAGE(10, 8, 12)</f>
        <v>10</v>
      </c>
      <c r="G30" s="23">
        <v>4</v>
      </c>
    </row>
    <row r="31" spans="1:7" x14ac:dyDescent="0.35">
      <c r="A31" s="47">
        <v>1883</v>
      </c>
      <c r="B31" s="48">
        <f>AVERAGE(0.1, 0.06, 0.03, 0.2, 0.1, 0.01)*100/61.8</f>
        <v>0.13484358144552319</v>
      </c>
      <c r="C31" s="50">
        <f>AVERAGE(0.1, 0.06, 0.03, 0.2, 0.1, 0.01)</f>
        <v>8.3333333333333329E-2</v>
      </c>
      <c r="D31" s="31">
        <f>AVERAGE(4800, 4800, 7212, 225, 1637, 3000)</f>
        <v>3612.3333333333335</v>
      </c>
      <c r="E31" s="34">
        <f>SUM(4800, 4800, 7212, 225, 1637, 3000)</f>
        <v>21674</v>
      </c>
      <c r="F31" s="30">
        <f>AVERAGE(8, 12, 6, 1.9, 2, 2)</f>
        <v>5.3166666666666664</v>
      </c>
      <c r="G31" s="23">
        <v>6</v>
      </c>
    </row>
    <row r="32" spans="1:7" x14ac:dyDescent="0.35">
      <c r="A32" s="47">
        <v>1884</v>
      </c>
      <c r="B32" s="48">
        <f>AVERAGE(0.1, 0.06, 0.03, 0.2, 0.1, 0.01)*100/63.4</f>
        <v>0.13144058885383805</v>
      </c>
      <c r="C32" s="50">
        <f>AVERAGE(0.1, 0.06, 0.03, 0.2, 0.1, 0.01)</f>
        <v>8.3333333333333329E-2</v>
      </c>
      <c r="D32" s="31">
        <f>AVERAGE(4800, 4800, 7212, 225, 1637, 3000)</f>
        <v>3612.3333333333335</v>
      </c>
      <c r="E32" s="34">
        <f>SUM(4800, 4800, 7212, 225, 1637, 3000)</f>
        <v>21674</v>
      </c>
      <c r="F32" s="30">
        <f>AVERAGE(8, 12, 6, 1.9, 2, 2)</f>
        <v>5.3166666666666664</v>
      </c>
      <c r="G32" s="23">
        <v>6</v>
      </c>
    </row>
    <row r="33" spans="1:9" x14ac:dyDescent="0.35">
      <c r="A33" s="47">
        <v>1885</v>
      </c>
      <c r="B33" s="48">
        <f>AVERAGE(0.06, 0.03, 0.02, 0.5, 0.04)*100/63.3</f>
        <v>0.20537124802527648</v>
      </c>
      <c r="C33" s="50">
        <f>AVERAGE(0.06, 0.03, 0.02, 0.5, 0.04)</f>
        <v>0.13</v>
      </c>
      <c r="D33" s="31">
        <f>AVERAGE(4800, 7212, 4718, 182.5, 2500)</f>
        <v>3882.5</v>
      </c>
      <c r="E33" s="33">
        <f>SUM(4800, 7212, 4718, 182.5, 2500)</f>
        <v>19412.5</v>
      </c>
      <c r="F33" s="30">
        <f>AVERAGE(12, 6, 1, 1, 1)</f>
        <v>4.2</v>
      </c>
      <c r="G33" s="23">
        <v>5</v>
      </c>
    </row>
    <row r="34" spans="1:9" x14ac:dyDescent="0.35">
      <c r="A34" s="47">
        <v>1886</v>
      </c>
      <c r="B34" s="48">
        <f>AVERAGE(0.06, 0.03)*100/60.7</f>
        <v>7.4135090609555185E-2</v>
      </c>
      <c r="C34" s="50">
        <f t="shared" ref="C34:C41" si="0">AVERAGE(0.06, 0.03)</f>
        <v>4.4999999999999998E-2</v>
      </c>
      <c r="D34" s="31">
        <f>AVERAGE(4800, 7212)</f>
        <v>6006</v>
      </c>
      <c r="E34" s="34">
        <f>SUM(4800, 7212)</f>
        <v>12012</v>
      </c>
      <c r="F34" s="30">
        <f>AVERAGE(12, 6)</f>
        <v>9</v>
      </c>
      <c r="G34" s="23">
        <v>2</v>
      </c>
    </row>
    <row r="35" spans="1:9" x14ac:dyDescent="0.35">
      <c r="A35" s="47">
        <v>1887</v>
      </c>
      <c r="B35" s="48">
        <f>AVERAGE(0.06, 0.03)*100/55.7</f>
        <v>8.0789946140035901E-2</v>
      </c>
      <c r="C35" s="50">
        <f t="shared" si="0"/>
        <v>4.4999999999999998E-2</v>
      </c>
      <c r="D35" s="31">
        <f t="shared" ref="D35:D41" si="1">AVERAGE(4800, 7212)</f>
        <v>6006</v>
      </c>
      <c r="E35" s="34">
        <f t="shared" ref="E35:E41" si="2">SUM(4800, 7212)</f>
        <v>12012</v>
      </c>
      <c r="F35" s="30">
        <f t="shared" ref="F35:F41" si="3">AVERAGE(12, 6)</f>
        <v>9</v>
      </c>
      <c r="G35" s="23">
        <v>2</v>
      </c>
    </row>
    <row r="36" spans="1:9" x14ac:dyDescent="0.35">
      <c r="A36" s="47">
        <v>1888</v>
      </c>
      <c r="B36" s="48">
        <f>AVERAGE(0.06, 0.03)*100/59.5</f>
        <v>7.5630252100840331E-2</v>
      </c>
      <c r="C36" s="50">
        <f t="shared" si="0"/>
        <v>4.4999999999999998E-2</v>
      </c>
      <c r="D36" s="31">
        <f t="shared" si="1"/>
        <v>6006</v>
      </c>
      <c r="E36" s="34">
        <f t="shared" si="2"/>
        <v>12012</v>
      </c>
      <c r="F36" s="30">
        <f t="shared" si="3"/>
        <v>9</v>
      </c>
      <c r="G36" s="23">
        <v>2</v>
      </c>
    </row>
    <row r="37" spans="1:9" x14ac:dyDescent="0.35">
      <c r="A37" s="47">
        <v>1889</v>
      </c>
      <c r="B37" s="48">
        <f>AVERAGE(0.06, 0.03)*100/65.9</f>
        <v>6.8285280728376321E-2</v>
      </c>
      <c r="C37" s="50">
        <f t="shared" si="0"/>
        <v>4.4999999999999998E-2</v>
      </c>
      <c r="D37" s="31">
        <f t="shared" si="1"/>
        <v>6006</v>
      </c>
      <c r="E37" s="34">
        <f t="shared" si="2"/>
        <v>12012</v>
      </c>
      <c r="F37" s="30">
        <f t="shared" si="3"/>
        <v>9</v>
      </c>
      <c r="G37" s="23">
        <v>2</v>
      </c>
    </row>
    <row r="38" spans="1:9" x14ac:dyDescent="0.35">
      <c r="A38" s="47">
        <v>1890</v>
      </c>
      <c r="B38" s="48">
        <f>AVERAGE(0.06, 0.03)*100/72.6</f>
        <v>6.1983471074380167E-2</v>
      </c>
      <c r="C38" s="50">
        <f t="shared" si="0"/>
        <v>4.4999999999999998E-2</v>
      </c>
      <c r="D38" s="31">
        <f t="shared" si="1"/>
        <v>6006</v>
      </c>
      <c r="E38" s="34">
        <f t="shared" si="2"/>
        <v>12012</v>
      </c>
      <c r="F38" s="30">
        <f t="shared" si="3"/>
        <v>9</v>
      </c>
      <c r="G38" s="23">
        <v>2</v>
      </c>
    </row>
    <row r="39" spans="1:9" x14ac:dyDescent="0.35">
      <c r="A39" s="47">
        <v>1891</v>
      </c>
      <c r="B39" s="48">
        <f>AVERAGE(0.06, 0.03)*100/66.8</f>
        <v>6.7365269461077848E-2</v>
      </c>
      <c r="C39" s="50">
        <f t="shared" si="0"/>
        <v>4.4999999999999998E-2</v>
      </c>
      <c r="D39" s="31">
        <f t="shared" si="1"/>
        <v>6006</v>
      </c>
      <c r="E39" s="34">
        <f t="shared" si="2"/>
        <v>12012</v>
      </c>
      <c r="F39" s="30">
        <f t="shared" si="3"/>
        <v>9</v>
      </c>
      <c r="G39" s="23">
        <v>2</v>
      </c>
    </row>
    <row r="40" spans="1:9" x14ac:dyDescent="0.35">
      <c r="A40" s="47">
        <v>1892</v>
      </c>
      <c r="B40" s="48">
        <f>AVERAGE(0.06, 0.03)*100/63.1</f>
        <v>7.1315372424722662E-2</v>
      </c>
      <c r="C40" s="50">
        <f t="shared" si="0"/>
        <v>4.4999999999999998E-2</v>
      </c>
      <c r="D40" s="31">
        <f t="shared" si="1"/>
        <v>6006</v>
      </c>
      <c r="E40" s="34">
        <f t="shared" si="2"/>
        <v>12012</v>
      </c>
      <c r="F40" s="30">
        <f t="shared" si="3"/>
        <v>9</v>
      </c>
      <c r="G40" s="23">
        <v>2</v>
      </c>
    </row>
    <row r="41" spans="1:9" x14ac:dyDescent="0.35">
      <c r="A41" s="47">
        <v>1893</v>
      </c>
      <c r="B41" s="48">
        <f>AVERAGE(0.06, 0.03)*100/65.3</f>
        <v>6.8912710566615618E-2</v>
      </c>
      <c r="C41" s="50">
        <f t="shared" si="0"/>
        <v>4.4999999999999998E-2</v>
      </c>
      <c r="D41" s="31">
        <f t="shared" si="1"/>
        <v>6006</v>
      </c>
      <c r="E41" s="34">
        <f t="shared" si="2"/>
        <v>12012</v>
      </c>
      <c r="F41" s="30">
        <f t="shared" si="3"/>
        <v>9</v>
      </c>
      <c r="G41" s="23">
        <v>2</v>
      </c>
    </row>
    <row r="42" spans="1:9" x14ac:dyDescent="0.35">
      <c r="A42" s="47">
        <v>1894</v>
      </c>
      <c r="B42" s="48">
        <f>AVERAGE(0.06, 0.03,1.03, 1.03, 1.03, 1.03,1,1)*100/67</f>
        <v>1.158582089552239</v>
      </c>
      <c r="C42" s="50">
        <f>AVERAGE(0.06, 0.03,1.03, 1.03, 1.03, 1.03,1,1)</f>
        <v>0.77625000000000011</v>
      </c>
      <c r="D42" s="31">
        <f>AVERAGE(4800, 7212, 7101, 5560, 3567,18521, 120, 170)</f>
        <v>5881.375</v>
      </c>
      <c r="E42" s="34">
        <f>SUM(4800, 7212,4800, 7212, 7101, 5560, 3567,18521, 120, 170)</f>
        <v>59063</v>
      </c>
      <c r="F42" s="30">
        <f>AVERAGE(12, 6,1,1,1,1,1,1)</f>
        <v>3</v>
      </c>
      <c r="G42" s="23">
        <v>8</v>
      </c>
      <c r="H42" s="23">
        <v>9.5</v>
      </c>
    </row>
    <row r="43" spans="1:9" x14ac:dyDescent="0.35">
      <c r="A43" s="47">
        <v>1895</v>
      </c>
      <c r="B43" s="48">
        <f>AVERAGE(1, 0.04, 0.1, 0.1, 0.1, 0.1)*100/67.5</f>
        <v>0.35555555555555568</v>
      </c>
      <c r="C43" s="50">
        <f>AVERAGE(1, 0.04, 0.1, 0.1, 0.1, 0.1)</f>
        <v>0.24000000000000007</v>
      </c>
      <c r="D43" s="31">
        <f>AVERAGE(120, 7212, 5231, 5494, 3557, 2003)</f>
        <v>3936.1666666666665</v>
      </c>
      <c r="E43" s="34">
        <f>SUM(120, 7212, 5231, 5494, 3557, 2003)</f>
        <v>23617</v>
      </c>
      <c r="F43" s="30">
        <f>AVERAGE(6,1,1,1,1,1)</f>
        <v>1.8333333333333333</v>
      </c>
      <c r="G43" s="23">
        <v>6</v>
      </c>
    </row>
    <row r="44" spans="1:9" x14ac:dyDescent="0.35">
      <c r="A44" s="47">
        <v>1896</v>
      </c>
      <c r="B44" s="48">
        <f>AVERAGE(0.04)*100/66.67</f>
        <v>5.9997000149992499E-2</v>
      </c>
      <c r="C44" s="50">
        <f>AVERAGE(0.04)</f>
        <v>0.04</v>
      </c>
      <c r="D44" s="23">
        <f>AVERAGE(7212)</f>
        <v>7212</v>
      </c>
      <c r="E44" s="23">
        <f>SUM(7212)</f>
        <v>7212</v>
      </c>
      <c r="F44" s="30">
        <v>6</v>
      </c>
      <c r="G44" s="23">
        <v>1</v>
      </c>
    </row>
    <row r="45" spans="1:9" x14ac:dyDescent="0.35">
      <c r="A45" s="47">
        <v>1897</v>
      </c>
      <c r="B45" s="48">
        <f>AVERAGE(0.04)*100/66.67</f>
        <v>5.9997000149992499E-2</v>
      </c>
      <c r="C45" s="50">
        <f>AVERAGE(0.04)</f>
        <v>0.04</v>
      </c>
      <c r="D45" s="23">
        <f>AVERAGE(7212)</f>
        <v>7212</v>
      </c>
      <c r="E45" s="23">
        <f>SUM(7212)</f>
        <v>7212</v>
      </c>
      <c r="F45" s="30">
        <v>6</v>
      </c>
      <c r="G45" s="23">
        <v>1</v>
      </c>
    </row>
    <row r="46" spans="1:9" x14ac:dyDescent="0.35">
      <c r="A46" s="47">
        <v>1898</v>
      </c>
      <c r="B46" s="48">
        <f>AVERAGE(0.04,0.9,1.9,1.9,1.2)*100/66.67</f>
        <v>1.7819109044547774</v>
      </c>
      <c r="C46" s="50">
        <f>AVERAGE(0.04,0.9,1.9,1.9,1.2)</f>
        <v>1.1880000000000002</v>
      </c>
      <c r="D46" s="31">
        <f>AVERAGE(7212,10028.5,4386,6827,2091)</f>
        <v>6108.9</v>
      </c>
      <c r="E46" s="31">
        <f>SUM(7212,10028.5,4386,6827,2091)</f>
        <v>30544.5</v>
      </c>
      <c r="F46" s="30">
        <f>AVERAGE(6,1,1,1,1,1)</f>
        <v>1.8333333333333333</v>
      </c>
      <c r="G46" s="23">
        <v>5</v>
      </c>
    </row>
    <row r="47" spans="1:9" ht="77.5" x14ac:dyDescent="0.35">
      <c r="A47" s="47">
        <v>1899</v>
      </c>
      <c r="B47" s="48">
        <f>AVERAGE(0.04,2.6)*100/66.67</f>
        <v>1.9799010049497525</v>
      </c>
      <c r="C47" s="50">
        <f>AVERAGE(0.04,2.6)</f>
        <v>1.32</v>
      </c>
      <c r="D47" s="23">
        <f>AVERAGE(7212,10300,9376,4500,1688)</f>
        <v>6615.2</v>
      </c>
      <c r="E47" s="23">
        <f>SUM(7212,10300,9376,4500,1688)</f>
        <v>33076</v>
      </c>
      <c r="F47" s="30">
        <f>AVERAGE(6,1,1,1,1,1)</f>
        <v>1.8333333333333333</v>
      </c>
      <c r="G47" s="23">
        <v>5</v>
      </c>
      <c r="H47" s="23" t="s">
        <v>5</v>
      </c>
    </row>
    <row r="48" spans="1:9" ht="62" x14ac:dyDescent="0.35">
      <c r="A48" s="47">
        <v>1900</v>
      </c>
      <c r="B48" s="48">
        <f>AVERAGE(0.04)*100/66.67</f>
        <v>5.9997000149992499E-2</v>
      </c>
      <c r="C48" s="50">
        <f>AVERAGE(0.04)</f>
        <v>0.04</v>
      </c>
      <c r="D48" s="23">
        <f>AVERAGE(7212)</f>
        <v>7212</v>
      </c>
      <c r="E48" s="23">
        <f>SUM(7212)</f>
        <v>7212</v>
      </c>
      <c r="F48" s="30">
        <f>AVERAGE(6)</f>
        <v>6</v>
      </c>
      <c r="G48" s="23">
        <v>1</v>
      </c>
      <c r="H48" s="23" t="s">
        <v>6</v>
      </c>
      <c r="I48" s="58"/>
    </row>
    <row r="49" spans="1:17" ht="31" x14ac:dyDescent="0.35">
      <c r="A49" s="47">
        <v>1901</v>
      </c>
      <c r="B49" s="48">
        <f>AVERAGE(0.01,1.1,1.1,1.1,1,0.1)*100/66.67</f>
        <v>1.1024448777561122</v>
      </c>
      <c r="C49" s="50">
        <f>AVERAGE(0.01,1.1,1.1,1.1,1,0.1)</f>
        <v>0.73499999999999999</v>
      </c>
      <c r="D49" s="31">
        <f>AVERAGE(4173,4882.67,2702.35,201.18,398,3650)</f>
        <v>2667.8666666666668</v>
      </c>
      <c r="E49" s="31">
        <f>SUM(4173,4882.67,2702.35,201.18,398,3650)</f>
        <v>16007.2</v>
      </c>
      <c r="F49" s="30">
        <f>AVERAGE(1, 1, 1, 1, 1, 1)</f>
        <v>1</v>
      </c>
      <c r="G49" s="23">
        <v>6</v>
      </c>
      <c r="H49" s="23" t="s">
        <v>7</v>
      </c>
      <c r="I49" s="71">
        <f>(0.28/66.67)*100</f>
        <v>0.41997900104994756</v>
      </c>
    </row>
    <row r="50" spans="1:17" x14ac:dyDescent="0.35">
      <c r="A50" s="47">
        <v>1902</v>
      </c>
      <c r="B50" s="48">
        <f>AVERAGE(1.1,1.1,1.1,1.1)*100/66.67</f>
        <v>1.649917504124794</v>
      </c>
      <c r="C50" s="50">
        <f>AVERAGE(1.1,1.1,1.1,1.1)</f>
        <v>1.1000000000000001</v>
      </c>
      <c r="D50" s="31">
        <f>AVERAGE(2718,1757,6869,201.8)</f>
        <v>2886.45</v>
      </c>
      <c r="E50" s="31">
        <f>SUM(2718,1757,6869,201.8)</f>
        <v>11545.8</v>
      </c>
      <c r="F50" s="30">
        <f>AVERAGE(1, 1, 1, 1)</f>
        <v>1</v>
      </c>
      <c r="G50" s="23">
        <v>4</v>
      </c>
      <c r="I50" s="72"/>
    </row>
    <row r="51" spans="1:17" x14ac:dyDescent="0.35">
      <c r="A51" s="47">
        <v>1903</v>
      </c>
      <c r="B51" s="48">
        <f>AVERAGE(0.82)*100/71.3</f>
        <v>1.1500701262272091</v>
      </c>
      <c r="C51" s="50">
        <f>AVERAGE(0.82)</f>
        <v>0.82</v>
      </c>
      <c r="D51" s="31">
        <f>AVERAGE(1784)</f>
        <v>1784</v>
      </c>
      <c r="E51" s="31">
        <f>SUM(1784)</f>
        <v>1784</v>
      </c>
      <c r="F51" s="30">
        <f>AVERAGE(1)</f>
        <v>1</v>
      </c>
      <c r="G51" s="23">
        <v>1</v>
      </c>
      <c r="I51" s="72"/>
    </row>
    <row r="52" spans="1:17" x14ac:dyDescent="0.35">
      <c r="A52" s="47">
        <v>1904</v>
      </c>
      <c r="B52" s="48">
        <f>AVERAGE(0.07)*100/66.7</f>
        <v>0.10494752623688157</v>
      </c>
      <c r="C52" s="50">
        <f>AVERAGE(0.07)</f>
        <v>7.0000000000000007E-2</v>
      </c>
      <c r="D52" s="23">
        <f>AVERAGE(7268)</f>
        <v>7268</v>
      </c>
      <c r="E52" s="31">
        <f>SUM(7268)</f>
        <v>7268</v>
      </c>
      <c r="F52" s="30">
        <f>AVERAGE(1)</f>
        <v>1</v>
      </c>
      <c r="G52" s="23">
        <v>1</v>
      </c>
      <c r="I52" s="72"/>
    </row>
    <row r="53" spans="1:17" x14ac:dyDescent="0.35">
      <c r="A53" s="47">
        <v>1905</v>
      </c>
      <c r="B53" s="48"/>
      <c r="C53" s="50"/>
      <c r="E53" s="31"/>
      <c r="F53" s="30"/>
      <c r="G53" s="23">
        <v>0</v>
      </c>
      <c r="I53" s="72"/>
    </row>
    <row r="54" spans="1:17" x14ac:dyDescent="0.35">
      <c r="A54" s="47">
        <v>1906</v>
      </c>
      <c r="B54" s="48"/>
      <c r="C54" s="50"/>
      <c r="E54" s="31"/>
      <c r="F54" s="30"/>
      <c r="G54" s="23">
        <v>0</v>
      </c>
      <c r="I54" s="72"/>
    </row>
    <row r="55" spans="1:17" x14ac:dyDescent="0.35">
      <c r="A55" s="47">
        <v>1907</v>
      </c>
      <c r="B55" s="48">
        <f>AVERAGE(0.07,0.07,0.07)*100/66.7</f>
        <v>0.10494752623688157</v>
      </c>
      <c r="C55" s="50">
        <f>AVERAGE(0.07,0.07,0.07)</f>
        <v>7.0000000000000007E-2</v>
      </c>
      <c r="D55" s="31">
        <f>AVERAGE(8653.5,4395,2669)</f>
        <v>5239.166666666667</v>
      </c>
      <c r="E55" s="31">
        <f>SUM(8653.5,4395,2669)</f>
        <v>15717.5</v>
      </c>
      <c r="F55" s="30">
        <f>AVERAGE(1,1,1)</f>
        <v>1</v>
      </c>
      <c r="G55" s="23">
        <v>3</v>
      </c>
      <c r="I55" s="72"/>
    </row>
    <row r="56" spans="1:17" x14ac:dyDescent="0.35">
      <c r="A56" s="47">
        <v>1908</v>
      </c>
      <c r="B56" s="48"/>
      <c r="C56" s="50"/>
      <c r="D56" s="31"/>
      <c r="E56" s="31"/>
      <c r="F56" s="30"/>
      <c r="G56" s="23">
        <v>0</v>
      </c>
      <c r="I56" s="72"/>
    </row>
    <row r="57" spans="1:17" x14ac:dyDescent="0.35">
      <c r="A57" s="47">
        <v>1909</v>
      </c>
      <c r="B57" s="48"/>
      <c r="C57" s="50"/>
      <c r="D57" s="31"/>
      <c r="E57" s="31"/>
      <c r="F57" s="30"/>
      <c r="G57" s="23">
        <v>0</v>
      </c>
      <c r="I57" s="72"/>
    </row>
    <row r="58" spans="1:17" x14ac:dyDescent="0.35">
      <c r="A58" s="47">
        <v>1910</v>
      </c>
      <c r="B58" s="48"/>
      <c r="C58" s="50"/>
      <c r="D58" s="31"/>
      <c r="E58" s="31"/>
      <c r="F58" s="30"/>
      <c r="G58" s="23">
        <v>0</v>
      </c>
      <c r="I58" s="72"/>
    </row>
    <row r="59" spans="1:17" x14ac:dyDescent="0.35">
      <c r="A59" s="47">
        <v>1911</v>
      </c>
      <c r="B59" s="48">
        <f>AVERAGE(0.2)*100/66.7</f>
        <v>0.29985007496251875</v>
      </c>
      <c r="C59" s="50">
        <f>AVERAGE(0.2)</f>
        <v>0.2</v>
      </c>
      <c r="D59" s="47" t="s">
        <v>8</v>
      </c>
      <c r="E59" s="47" t="s">
        <v>8</v>
      </c>
      <c r="F59" s="30">
        <f>AVERAGE(1)</f>
        <v>1</v>
      </c>
      <c r="G59" s="23">
        <v>1</v>
      </c>
      <c r="I59" s="71">
        <v>1</v>
      </c>
    </row>
    <row r="60" spans="1:17" x14ac:dyDescent="0.35">
      <c r="A60" s="47">
        <v>1912</v>
      </c>
      <c r="B60" s="48">
        <f>AVERAGE(0.2,0.2)*100/66.7</f>
        <v>0.29985007496251875</v>
      </c>
      <c r="C60" s="50">
        <f>AVERAGE(0.2,0.2)</f>
        <v>0.2</v>
      </c>
      <c r="D60" s="47">
        <f>AVERAGE(2898)</f>
        <v>2898</v>
      </c>
      <c r="E60" s="51">
        <f>SUM(2898)</f>
        <v>2898</v>
      </c>
      <c r="F60" s="30">
        <f>AVERAGE(1,1)</f>
        <v>1</v>
      </c>
      <c r="G60" s="23">
        <v>2</v>
      </c>
      <c r="I60" s="71">
        <f>AVERAGE(0.6,1)*100/66.7</f>
        <v>1.199400299850075</v>
      </c>
      <c r="J60" s="24"/>
      <c r="K60" s="24"/>
      <c r="L60" s="24"/>
      <c r="M60" s="24"/>
    </row>
    <row r="61" spans="1:17" x14ac:dyDescent="0.35">
      <c r="A61" s="47">
        <v>1913</v>
      </c>
      <c r="B61" s="48">
        <f>AVERAGE(0.25,1.95)*100/66.7</f>
        <v>1.6491754122938531</v>
      </c>
      <c r="C61" s="50">
        <f>AVERAGE(0.25,1.95)</f>
        <v>1.1000000000000001</v>
      </c>
      <c r="D61" s="52" t="s">
        <v>8</v>
      </c>
      <c r="E61" s="53" t="s">
        <v>8</v>
      </c>
      <c r="F61" s="30">
        <f>AVERAGE(1,1)</f>
        <v>1</v>
      </c>
      <c r="G61" s="23">
        <v>2</v>
      </c>
      <c r="H61" s="23">
        <v>16</v>
      </c>
      <c r="I61" s="71">
        <f>AVERAGE(0.35,1)*100/66.7</f>
        <v>1.0119940029985006</v>
      </c>
      <c r="J61" s="24"/>
      <c r="K61" s="24"/>
      <c r="L61" s="24"/>
      <c r="M61" s="24"/>
      <c r="N61" s="24"/>
      <c r="O61" s="24"/>
      <c r="P61" s="24"/>
    </row>
    <row r="62" spans="1:17" x14ac:dyDescent="0.35">
      <c r="A62" s="47">
        <v>1914</v>
      </c>
      <c r="B62" s="48">
        <f>AVERAGE(0.1)*100/65.3</f>
        <v>0.15313935681470139</v>
      </c>
      <c r="C62" s="50">
        <f>AVERAGE(0.1)</f>
        <v>0.1</v>
      </c>
      <c r="D62" s="23">
        <f>AVERAGE(7200)</f>
        <v>7200</v>
      </c>
      <c r="E62" s="31">
        <f>SUM(7200)</f>
        <v>7200</v>
      </c>
      <c r="F62" s="30">
        <f>AVERAGE(12)</f>
        <v>12</v>
      </c>
      <c r="G62" s="23">
        <v>1</v>
      </c>
      <c r="H62" s="23">
        <v>13</v>
      </c>
      <c r="I62" s="73">
        <v>0.4</v>
      </c>
      <c r="N62" s="24"/>
      <c r="O62" s="24"/>
      <c r="P62" s="24"/>
    </row>
    <row r="63" spans="1:17" x14ac:dyDescent="0.35">
      <c r="I63" s="58"/>
      <c r="N63" s="24"/>
      <c r="O63" s="24"/>
      <c r="P63" s="24"/>
    </row>
    <row r="64" spans="1:17" x14ac:dyDescent="0.35">
      <c r="A64" s="24" t="s">
        <v>125</v>
      </c>
      <c r="Q64" s="24"/>
    </row>
    <row r="65" spans="1:17" x14ac:dyDescent="0.35">
      <c r="A65" s="24" t="s">
        <v>126</v>
      </c>
      <c r="Q65" s="24"/>
    </row>
    <row r="66" spans="1:17" s="24" customFormat="1" x14ac:dyDescent="0.35">
      <c r="A66" s="24" t="s">
        <v>138</v>
      </c>
      <c r="I66" s="23"/>
      <c r="J66" s="23"/>
      <c r="K66" s="23"/>
      <c r="L66" s="23"/>
      <c r="M66" s="23"/>
      <c r="N66" s="23"/>
      <c r="O66" s="23"/>
      <c r="P66" s="23"/>
    </row>
    <row r="67" spans="1:17" s="24" customFormat="1" x14ac:dyDescent="0.35">
      <c r="A67" s="24" t="s">
        <v>144</v>
      </c>
      <c r="I67" s="49"/>
      <c r="J67" s="49"/>
      <c r="K67" s="23"/>
      <c r="L67" s="23"/>
      <c r="M67" s="23"/>
      <c r="N67" s="23"/>
      <c r="O67" s="23"/>
      <c r="P67" s="23"/>
      <c r="Q67" s="23"/>
    </row>
    <row r="68" spans="1:17" s="24" customFormat="1" x14ac:dyDescent="0.35">
      <c r="I68" s="49"/>
      <c r="J68" s="49"/>
      <c r="K68" s="23"/>
      <c r="L68" s="23"/>
      <c r="M68" s="23"/>
      <c r="N68" s="23"/>
      <c r="O68" s="23"/>
      <c r="P68" s="23"/>
      <c r="Q68" s="23"/>
    </row>
    <row r="74" spans="1:17" x14ac:dyDescent="0.35">
      <c r="B74" s="49"/>
      <c r="C74" s="49"/>
      <c r="D74" s="49"/>
      <c r="E74" s="49"/>
      <c r="F74" s="49"/>
      <c r="G74" s="49"/>
      <c r="H74" s="49"/>
    </row>
    <row r="75" spans="1:17" x14ac:dyDescent="0.35">
      <c r="B75" s="49"/>
      <c r="C75" s="49"/>
      <c r="D75" s="49"/>
      <c r="E75" s="49"/>
      <c r="F75" s="49"/>
      <c r="G75" s="49"/>
      <c r="H75" s="49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/>
  </sheetViews>
  <sheetFormatPr defaultColWidth="9.1796875" defaultRowHeight="15.5" x14ac:dyDescent="0.35"/>
  <cols>
    <col min="1" max="1" width="9.1796875" style="23"/>
    <col min="2" max="2" width="10.6328125" style="23" customWidth="1"/>
    <col min="3" max="3" width="15" style="23" customWidth="1"/>
    <col min="4" max="4" width="15.81640625" style="23" customWidth="1"/>
    <col min="5" max="5" width="14.36328125" style="23" customWidth="1"/>
    <col min="6" max="6" width="13.36328125" style="23" customWidth="1"/>
    <col min="7" max="16384" width="9.1796875" style="23"/>
  </cols>
  <sheetData>
    <row r="1" spans="1:6" ht="18.5" x14ac:dyDescent="0.45">
      <c r="A1" s="25" t="s">
        <v>143</v>
      </c>
      <c r="C1" s="24"/>
      <c r="D1" s="24"/>
      <c r="E1" s="24"/>
    </row>
    <row r="3" spans="1:6" s="24" customFormat="1" ht="18.5" x14ac:dyDescent="0.45">
      <c r="A3" s="25" t="s">
        <v>137</v>
      </c>
    </row>
    <row r="4" spans="1:6" s="27" customFormat="1" ht="18.5" x14ac:dyDescent="0.45">
      <c r="A4" s="26" t="s">
        <v>16</v>
      </c>
    </row>
    <row r="5" spans="1:6" ht="77.5" x14ac:dyDescent="0.35">
      <c r="A5" s="28" t="s">
        <v>3</v>
      </c>
      <c r="B5" s="28" t="s">
        <v>9</v>
      </c>
      <c r="C5" s="28" t="s">
        <v>10</v>
      </c>
      <c r="D5" s="28" t="s">
        <v>11</v>
      </c>
      <c r="E5" s="28" t="s">
        <v>12</v>
      </c>
      <c r="F5" s="28" t="s">
        <v>13</v>
      </c>
    </row>
    <row r="6" spans="1:6" x14ac:dyDescent="0.35">
      <c r="A6" s="23">
        <v>1859</v>
      </c>
      <c r="B6" s="29" t="e">
        <v>#N/A</v>
      </c>
      <c r="C6" s="29" t="e">
        <v>#N/A</v>
      </c>
      <c r="D6" s="29" t="e">
        <v>#N/A</v>
      </c>
      <c r="E6" s="29" t="e">
        <v>#N/A</v>
      </c>
      <c r="F6" s="29" t="e">
        <v>#N/A</v>
      </c>
    </row>
    <row r="7" spans="1:6" x14ac:dyDescent="0.35">
      <c r="A7" s="23">
        <v>1860</v>
      </c>
      <c r="B7" s="29" t="e">
        <v>#N/A</v>
      </c>
      <c r="C7" s="29" t="e">
        <v>#N/A</v>
      </c>
      <c r="D7" s="29" t="e">
        <v>#N/A</v>
      </c>
      <c r="E7" s="29" t="e">
        <v>#N/A</v>
      </c>
      <c r="F7" s="29" t="e">
        <v>#N/A</v>
      </c>
    </row>
    <row r="8" spans="1:6" x14ac:dyDescent="0.35">
      <c r="A8" s="23">
        <v>1861</v>
      </c>
      <c r="B8" s="29" t="e">
        <v>#N/A</v>
      </c>
      <c r="C8" s="29" t="e">
        <v>#N/A</v>
      </c>
      <c r="D8" s="29" t="e">
        <v>#N/A</v>
      </c>
      <c r="E8" s="29" t="e">
        <v>#N/A</v>
      </c>
      <c r="F8" s="29" t="e">
        <v>#N/A</v>
      </c>
    </row>
    <row r="9" spans="1:6" x14ac:dyDescent="0.35">
      <c r="A9" s="23">
        <v>1862</v>
      </c>
      <c r="B9" s="29" t="e">
        <v>#N/A</v>
      </c>
      <c r="C9" s="29" t="e">
        <v>#N/A</v>
      </c>
      <c r="D9" s="29" t="e">
        <v>#N/A</v>
      </c>
      <c r="E9" s="29" t="e">
        <v>#N/A</v>
      </c>
      <c r="F9" s="29" t="e">
        <v>#N/A</v>
      </c>
    </row>
    <row r="10" spans="1:6" x14ac:dyDescent="0.35">
      <c r="A10" s="23">
        <v>1863</v>
      </c>
      <c r="B10" s="29" t="e">
        <v>#N/A</v>
      </c>
      <c r="C10" s="29" t="e">
        <v>#N/A</v>
      </c>
      <c r="D10" s="29" t="e">
        <v>#N/A</v>
      </c>
      <c r="E10" s="29" t="e">
        <v>#N/A</v>
      </c>
      <c r="F10" s="29" t="e">
        <v>#N/A</v>
      </c>
    </row>
    <row r="11" spans="1:6" x14ac:dyDescent="0.35">
      <c r="A11" s="23">
        <v>1864</v>
      </c>
      <c r="B11" s="29" t="e">
        <v>#N/A</v>
      </c>
      <c r="C11" s="29" t="e">
        <v>#N/A</v>
      </c>
      <c r="D11" s="29" t="e">
        <v>#N/A</v>
      </c>
      <c r="E11" s="29" t="e">
        <v>#N/A</v>
      </c>
      <c r="F11" s="29" t="e">
        <v>#N/A</v>
      </c>
    </row>
    <row r="12" spans="1:6" x14ac:dyDescent="0.35">
      <c r="A12" s="23">
        <v>1865</v>
      </c>
      <c r="B12" s="29" t="e">
        <v>#N/A</v>
      </c>
      <c r="C12" s="29" t="e">
        <v>#N/A</v>
      </c>
      <c r="D12" s="29" t="e">
        <v>#N/A</v>
      </c>
      <c r="E12" s="29" t="e">
        <v>#N/A</v>
      </c>
      <c r="F12" s="29" t="e">
        <v>#N/A</v>
      </c>
    </row>
    <row r="13" spans="1:6" x14ac:dyDescent="0.35">
      <c r="A13" s="23">
        <v>1866</v>
      </c>
      <c r="B13" s="29" t="e">
        <v>#N/A</v>
      </c>
      <c r="C13" s="29" t="e">
        <v>#N/A</v>
      </c>
      <c r="D13" s="29" t="e">
        <v>#N/A</v>
      </c>
      <c r="E13" s="29" t="e">
        <v>#N/A</v>
      </c>
      <c r="F13" s="29" t="e">
        <v>#N/A</v>
      </c>
    </row>
    <row r="14" spans="1:6" x14ac:dyDescent="0.35">
      <c r="A14" s="23">
        <v>1867</v>
      </c>
      <c r="B14" s="29" t="e">
        <v>#N/A</v>
      </c>
      <c r="C14" s="29" t="e">
        <v>#N/A</v>
      </c>
      <c r="D14" s="29" t="e">
        <v>#N/A</v>
      </c>
      <c r="E14" s="29" t="e">
        <v>#N/A</v>
      </c>
      <c r="F14" s="29" t="e">
        <v>#N/A</v>
      </c>
    </row>
    <row r="15" spans="1:6" x14ac:dyDescent="0.35">
      <c r="A15" s="23">
        <v>1868</v>
      </c>
      <c r="B15" s="29" t="e">
        <v>#N/A</v>
      </c>
      <c r="C15" s="29" t="e">
        <v>#N/A</v>
      </c>
      <c r="D15" s="29" t="e">
        <v>#N/A</v>
      </c>
      <c r="E15" s="29" t="e">
        <v>#N/A</v>
      </c>
      <c r="F15" s="29" t="e">
        <v>#N/A</v>
      </c>
    </row>
    <row r="16" spans="1:6" x14ac:dyDescent="0.35">
      <c r="A16" s="23">
        <v>1869</v>
      </c>
      <c r="B16" s="29" t="e">
        <v>#N/A</v>
      </c>
      <c r="C16" s="29" t="e">
        <v>#N/A</v>
      </c>
      <c r="D16" s="29" t="e">
        <v>#N/A</v>
      </c>
      <c r="E16" s="29" t="e">
        <v>#N/A</v>
      </c>
      <c r="F16" s="29" t="e">
        <v>#N/A</v>
      </c>
    </row>
    <row r="17" spans="1:6" x14ac:dyDescent="0.35">
      <c r="A17" s="23">
        <v>1870</v>
      </c>
      <c r="B17" s="30">
        <f>0.07*100/77.77</f>
        <v>9.0009000900090022E-2</v>
      </c>
      <c r="C17" s="23">
        <f>AVERAGE(1200, 1200, 1200, 1200, 1200, 1200, 1200, 1200)</f>
        <v>1200</v>
      </c>
      <c r="D17" s="23">
        <f t="shared" ref="D17:D28" si="0">SUM(1200,1200, 1200,1200,1200,1200,1200,1200)</f>
        <v>9600</v>
      </c>
      <c r="E17" s="23">
        <v>12</v>
      </c>
      <c r="F17" s="23">
        <v>8</v>
      </c>
    </row>
    <row r="18" spans="1:6" x14ac:dyDescent="0.35">
      <c r="A18" s="23">
        <v>1871</v>
      </c>
      <c r="B18" s="30">
        <f>0.07*100/85.2</f>
        <v>8.2159624413145546E-2</v>
      </c>
      <c r="C18" s="23">
        <f>AVERAGE(1200, 1200, 1200, 1200, 1200, 1200, 1200, 1200)</f>
        <v>1200</v>
      </c>
      <c r="D18" s="23">
        <f t="shared" si="0"/>
        <v>9600</v>
      </c>
      <c r="E18" s="23">
        <v>12</v>
      </c>
      <c r="F18" s="23">
        <v>8</v>
      </c>
    </row>
    <row r="19" spans="1:6" x14ac:dyDescent="0.35">
      <c r="A19" s="23">
        <v>1872</v>
      </c>
      <c r="B19" s="30">
        <f>0.07*100/85.1</f>
        <v>8.2256169212690966E-2</v>
      </c>
      <c r="C19" s="23">
        <f>AVERAGE(1200, 1200, 1200, 1200, 1200, 1200, 1200, 1200)</f>
        <v>1200</v>
      </c>
      <c r="D19" s="23">
        <f t="shared" si="0"/>
        <v>9600</v>
      </c>
      <c r="E19" s="23">
        <v>12</v>
      </c>
      <c r="F19" s="23">
        <v>8</v>
      </c>
    </row>
    <row r="20" spans="1:6" x14ac:dyDescent="0.35">
      <c r="A20" s="23">
        <v>1873</v>
      </c>
      <c r="B20" s="30">
        <f>0.07*100/84.4</f>
        <v>8.2938388625592427E-2</v>
      </c>
      <c r="C20" s="23">
        <f t="shared" ref="C20:C29" si="1">AVERAGE(1200, 1200, 1200, 1200, 1200, 1200, 1200, 1200)</f>
        <v>1200</v>
      </c>
      <c r="D20" s="23">
        <f t="shared" si="0"/>
        <v>9600</v>
      </c>
      <c r="E20" s="23">
        <v>12</v>
      </c>
      <c r="F20" s="23">
        <v>8</v>
      </c>
    </row>
    <row r="21" spans="1:6" x14ac:dyDescent="0.35">
      <c r="A21" s="23">
        <v>1874</v>
      </c>
      <c r="B21" s="30">
        <f>0.07*100/86.8</f>
        <v>8.0645161290322592E-2</v>
      </c>
      <c r="C21" s="23">
        <f t="shared" si="1"/>
        <v>1200</v>
      </c>
      <c r="D21" s="23">
        <f t="shared" si="0"/>
        <v>9600</v>
      </c>
      <c r="E21" s="23">
        <v>12</v>
      </c>
      <c r="F21" s="23">
        <v>8</v>
      </c>
    </row>
    <row r="22" spans="1:6" x14ac:dyDescent="0.35">
      <c r="A22" s="23">
        <v>1875</v>
      </c>
      <c r="B22" s="30">
        <f>0.07*100/85.8</f>
        <v>8.1585081585081598E-2</v>
      </c>
      <c r="C22" s="23">
        <f t="shared" si="1"/>
        <v>1200</v>
      </c>
      <c r="D22" s="23">
        <f t="shared" si="0"/>
        <v>9600</v>
      </c>
      <c r="E22" s="23">
        <v>12</v>
      </c>
      <c r="F22" s="23">
        <v>8</v>
      </c>
    </row>
    <row r="23" spans="1:6" x14ac:dyDescent="0.35">
      <c r="A23" s="23">
        <v>1876</v>
      </c>
      <c r="B23" s="30">
        <f>0.07*100/80.6</f>
        <v>8.6848635235732025E-2</v>
      </c>
      <c r="C23" s="23">
        <f t="shared" si="1"/>
        <v>1200</v>
      </c>
      <c r="D23" s="23">
        <f t="shared" si="0"/>
        <v>9600</v>
      </c>
      <c r="E23" s="23">
        <v>12</v>
      </c>
      <c r="F23" s="23">
        <v>8</v>
      </c>
    </row>
    <row r="24" spans="1:6" x14ac:dyDescent="0.35">
      <c r="A24" s="23">
        <v>1877</v>
      </c>
      <c r="B24" s="30">
        <f>0.07*100/67.4</f>
        <v>0.10385756676557864</v>
      </c>
      <c r="C24" s="23">
        <f t="shared" si="1"/>
        <v>1200</v>
      </c>
      <c r="D24" s="23">
        <f t="shared" si="0"/>
        <v>9600</v>
      </c>
      <c r="E24" s="23">
        <v>12</v>
      </c>
      <c r="F24" s="23">
        <v>8</v>
      </c>
    </row>
    <row r="25" spans="1:6" x14ac:dyDescent="0.35">
      <c r="A25" s="23">
        <v>1878</v>
      </c>
      <c r="B25" s="30">
        <f>0.07*100/64.6</f>
        <v>0.10835913312693501</v>
      </c>
      <c r="C25" s="23">
        <f t="shared" si="1"/>
        <v>1200</v>
      </c>
      <c r="D25" s="23">
        <f t="shared" si="0"/>
        <v>9600</v>
      </c>
      <c r="E25" s="23">
        <v>12</v>
      </c>
      <c r="F25" s="23">
        <v>8</v>
      </c>
    </row>
    <row r="26" spans="1:6" x14ac:dyDescent="0.35">
      <c r="A26" s="23">
        <v>1879</v>
      </c>
      <c r="B26" s="30">
        <f>0.07*100/63.1</f>
        <v>0.11093502377179082</v>
      </c>
      <c r="C26" s="23">
        <f t="shared" si="1"/>
        <v>1200</v>
      </c>
      <c r="D26" s="23">
        <f t="shared" si="0"/>
        <v>9600</v>
      </c>
      <c r="E26" s="23">
        <v>12</v>
      </c>
      <c r="F26" s="23">
        <v>8</v>
      </c>
    </row>
    <row r="27" spans="1:6" x14ac:dyDescent="0.35">
      <c r="A27" s="23">
        <v>1880</v>
      </c>
      <c r="B27" s="30">
        <f>0.07*100/64.4</f>
        <v>0.10869565217391305</v>
      </c>
      <c r="C27" s="23">
        <f t="shared" si="1"/>
        <v>1200</v>
      </c>
      <c r="D27" s="23">
        <f t="shared" si="0"/>
        <v>9600</v>
      </c>
      <c r="E27" s="23">
        <v>12</v>
      </c>
      <c r="F27" s="23">
        <v>8</v>
      </c>
    </row>
    <row r="28" spans="1:6" x14ac:dyDescent="0.35">
      <c r="A28" s="23">
        <v>1881</v>
      </c>
      <c r="B28" s="30">
        <f>0.07*100/65.7</f>
        <v>0.10654490106544902</v>
      </c>
      <c r="C28" s="23">
        <f t="shared" si="1"/>
        <v>1200</v>
      </c>
      <c r="D28" s="23">
        <f t="shared" si="0"/>
        <v>9600</v>
      </c>
      <c r="E28" s="23">
        <v>12</v>
      </c>
      <c r="F28" s="23">
        <v>8</v>
      </c>
    </row>
    <row r="29" spans="1:6" x14ac:dyDescent="0.35">
      <c r="A29" s="23">
        <v>1882</v>
      </c>
      <c r="B29" s="30">
        <f>0.07*100/63.1</f>
        <v>0.11093502377179082</v>
      </c>
      <c r="C29" s="23">
        <f t="shared" si="1"/>
        <v>1200</v>
      </c>
      <c r="D29" s="23">
        <f>SUM(1200,1200, 1200,1200,1200,1200,1200,1200)</f>
        <v>9600</v>
      </c>
      <c r="E29" s="23">
        <v>12</v>
      </c>
      <c r="F29" s="23">
        <v>8</v>
      </c>
    </row>
    <row r="30" spans="1:6" x14ac:dyDescent="0.35">
      <c r="A30" s="23">
        <v>1889</v>
      </c>
      <c r="B30" s="30">
        <f>0.28*100/65.9</f>
        <v>0.42488619119878607</v>
      </c>
      <c r="C30" s="31">
        <f>AVERAGE(1000, 1130, 1100, 1178, 1164, 1200, 1280, 1020, 960, 1040, 1617, 841, 1026, 1147, 1100, 900)</f>
        <v>1106.4375</v>
      </c>
      <c r="D30" s="23">
        <f>SUM(1000, 1130, 1100, 1178, 1164, 1200, 1280, 1020, 960, 1040, 1617, 841, 1026, 1147, 1100, 900)</f>
        <v>17703</v>
      </c>
      <c r="E30" s="23">
        <v>3</v>
      </c>
      <c r="F30" s="23">
        <v>16</v>
      </c>
    </row>
    <row r="31" spans="1:6" x14ac:dyDescent="0.35">
      <c r="A31" s="23">
        <v>1890</v>
      </c>
      <c r="B31" s="30">
        <f>0.28*100/72.6</f>
        <v>0.38567493112947665</v>
      </c>
      <c r="C31" s="31">
        <f>AVERAGE(1000, 1130, 1100, 1178, 1164, 1200, 1280, 1020, 960, 1040, 1617, 841, 1026, 1147, 1100, 900)</f>
        <v>1106.4375</v>
      </c>
      <c r="D31" s="23">
        <f>SUM(1000, 1130, 1100, 1178, 1164, 1200, 1280, 1020, 960, 1040, 1617, 841, 1026, 1147, 1100, 900)</f>
        <v>17703</v>
      </c>
      <c r="E31" s="23">
        <v>3</v>
      </c>
      <c r="F31" s="23">
        <v>16</v>
      </c>
    </row>
    <row r="32" spans="1:6" x14ac:dyDescent="0.35">
      <c r="A32" s="23">
        <v>1891</v>
      </c>
      <c r="B32" s="30">
        <f>0.28*100/66.8</f>
        <v>0.41916167664670667</v>
      </c>
      <c r="C32" s="31">
        <f>AVERAGE(1000, 1130, 1100, 1178, 1164, 1200, 1280, 1020, 960, 1040, 1617, 841, 1026, 1147, 1100, 900)</f>
        <v>1106.4375</v>
      </c>
      <c r="D32" s="23">
        <f>SUM(1000, 1130, 1100, 1178, 1164, 1200, 1280, 1020, 960, 1040, 1617, 841, 1026, 1147, 1100, 900)</f>
        <v>17703</v>
      </c>
      <c r="E32" s="23">
        <v>3</v>
      </c>
      <c r="F32" s="23">
        <v>16</v>
      </c>
    </row>
    <row r="33" spans="1:6" x14ac:dyDescent="0.35">
      <c r="A33" s="23">
        <v>1892</v>
      </c>
      <c r="B33" s="30">
        <f>0.28*100/63.1</f>
        <v>0.44374009508716328</v>
      </c>
      <c r="C33" s="31">
        <f>AVERAGE(1000, 1130, 1100, 1178, 1164, 1200, 1280, 1020, 960, 520, 1617, 1026, 1147, 1100, 900)</f>
        <v>1089.4666666666667</v>
      </c>
      <c r="D33" s="23">
        <f>SUM(1000, 1130, 1100, 1178, 1164, 1200, 1280, 1020, 960, 520, 1617, 1026, 1147, 1100, 900)</f>
        <v>16342</v>
      </c>
      <c r="E33" s="23">
        <v>3</v>
      </c>
      <c r="F33" s="23">
        <v>15</v>
      </c>
    </row>
    <row r="34" spans="1:6" x14ac:dyDescent="0.35">
      <c r="A34" s="23">
        <v>1893</v>
      </c>
      <c r="B34" s="30">
        <f>0.28*100/65.3</f>
        <v>0.42879019908116395</v>
      </c>
      <c r="C34" s="31">
        <f>AVERAGE(1000, 1130, 1100, 1178, 1164, 1200, 1280, 1020, 960, 520, 1617, 1026, 1147, 1100, 900)</f>
        <v>1089.4666666666667</v>
      </c>
      <c r="D34" s="23">
        <f>SUM(1000, 1130, 1100, 1178, 1164, 1200, 1280, 1020, 960, 520, 1617, 1026, 1147, 1100, 900)</f>
        <v>16342</v>
      </c>
      <c r="E34" s="23">
        <v>3</v>
      </c>
      <c r="F34" s="23">
        <v>15</v>
      </c>
    </row>
    <row r="35" spans="1:6" x14ac:dyDescent="0.35">
      <c r="A35" s="23">
        <v>1894</v>
      </c>
      <c r="B35" s="30">
        <f>AVERAGE(0.4, 0.4,  0.4, 0.4, 0.4, 0.4, 0.4, 0.4, 0.4,  0.4, 0.4, 0.4, 0.5, 0.4, 0.4)*100/67</f>
        <v>0.60696517412935325</v>
      </c>
      <c r="C35" s="31">
        <f>AVERAGE(1000, 1130, 855, 1164, 1343, 1280, 1020, 1178, 520, 1026, 1147, 1100, 600, 360, 1617)</f>
        <v>1022.6666666666666</v>
      </c>
      <c r="D35" s="23">
        <f>SUM(1000, 1130, 855, 1164, 1343, 1280, 1020, 1178, 520, 1026, 1147, 1100, 600, 360, 1617)</f>
        <v>15340</v>
      </c>
      <c r="E35" s="23">
        <v>3</v>
      </c>
      <c r="F35" s="23">
        <v>15</v>
      </c>
    </row>
    <row r="36" spans="1:6" x14ac:dyDescent="0.35">
      <c r="A36" s="23">
        <v>1895</v>
      </c>
      <c r="B36" s="30">
        <f>AVERAGE(0.4, 0.4,  0.4, 0.4, 0.4, 0.4, 0.4, 0.4, 0.4,  0.4, 0.4, 0.4, 0.5, 0.4, 0.4)*100/67.5</f>
        <v>0.60246913580246908</v>
      </c>
      <c r="C36" s="31">
        <f>AVERAGE(1000, 1130, 855, 1164, 1343, 1280, 1020, 1178, 520, 1026, 1147, 1100, 600, 360, 1617)</f>
        <v>1022.6666666666666</v>
      </c>
      <c r="D36" s="23">
        <f>SUM(1000, 1130, 855, 1164, 1343, 1280, 1020, 1178, 520, 1026, 1147, 1100, 600, 360, 1617)</f>
        <v>15340</v>
      </c>
      <c r="E36" s="23">
        <v>3</v>
      </c>
      <c r="F36" s="23">
        <v>15</v>
      </c>
    </row>
    <row r="37" spans="1:6" x14ac:dyDescent="0.35">
      <c r="A37" s="23">
        <v>1896</v>
      </c>
      <c r="B37" s="30">
        <f>AVERAGE(0.4, 0.4,  0.4, 0.4, 0.4, 0.4, 0.4, 0.4, 0.4,  0.4, 0.4, 0.4, 0.5, 0.4, 0.4)*100/66.67</f>
        <v>0.60996950152492369</v>
      </c>
      <c r="C37" s="31">
        <f>AVERAGE(1000, 1130, 855, 1164, 1343, 1280, 1020, 1178, 520, 1026, 1147, 1100, 600, 360, 1617)</f>
        <v>1022.6666666666666</v>
      </c>
      <c r="D37" s="23">
        <f>SUM(1000, 1130, 855, 1164, 1343, 1280, 1020, 1178, 520, 1026, 1147, 1100, 600, 360, 1617)</f>
        <v>15340</v>
      </c>
      <c r="E37" s="23">
        <v>3</v>
      </c>
      <c r="F37" s="23">
        <v>15</v>
      </c>
    </row>
    <row r="38" spans="1:6" x14ac:dyDescent="0.35">
      <c r="A38" s="23">
        <v>1897</v>
      </c>
      <c r="B38" s="30">
        <f>AVERAGE(0.5, 0.5,  0.1, 0.5, 0.5, 0.5, 0.5, 0.5,0.5, 0.4,  0.5, 0.4, 0.5, 0.5, 0.2)*100/66.67</f>
        <v>0.65996700164991762</v>
      </c>
      <c r="C38" s="31">
        <f>AVERAGE(1000, 1130, 875, 1164, 1343, 1280, 1020, 855, 1178, 520, 252, 1147, 1100, 600,  250)</f>
        <v>914.26666666666665</v>
      </c>
      <c r="D38" s="23">
        <f>SUM(1000, 1130, 875, 1164, 1343, 1280, 1020, 855, 1178, 520, 252, 1147, 1100, 600,  250)</f>
        <v>13714</v>
      </c>
      <c r="E38" s="23">
        <v>3</v>
      </c>
      <c r="F38" s="23">
        <v>15</v>
      </c>
    </row>
    <row r="39" spans="1:6" x14ac:dyDescent="0.35">
      <c r="A39" s="23">
        <v>1898</v>
      </c>
      <c r="B39" s="30">
        <f>AVERAGE(0.5, 0.5,  0.1, 0.5, 0.5, 0.5, 0.5, 0.5, 0.5, 0.4,  0.5, 0.4, 0.5, 0.5)*100/66.67</f>
        <v>0.68568000171419996</v>
      </c>
      <c r="C39" s="31">
        <f>AVERAGE(1000, 1130, 875, 1164, 1343, 1280, 1020, 855, 1178, 520, 252, 1147, 1100, 600)</f>
        <v>961.71428571428567</v>
      </c>
      <c r="D39" s="23">
        <f>SUM(1000, 1130, 875, 1164, 1343, 1280, 1020, 855, 1178, 520, 252, 1147, 1100, 600)</f>
        <v>13464</v>
      </c>
      <c r="E39" s="23">
        <v>3</v>
      </c>
      <c r="F39" s="23">
        <v>14</v>
      </c>
    </row>
    <row r="40" spans="1:6" x14ac:dyDescent="0.35">
      <c r="A40" s="23">
        <v>1899</v>
      </c>
      <c r="B40" s="30">
        <f>AVERAGE(0.5, 0.5,  0.1, 0.5, 0.5, 0.5, 0.5, 0.5, 0.5, 0.4,  0.5, 0.4, 0.5, 0.5)*100/66.67</f>
        <v>0.68568000171419996</v>
      </c>
      <c r="C40" s="31">
        <f>AVERAGE(1000, 1130, 875, 1164, 1343, 1280, 1020, 855, 1178, 520, 252, 1147, 1100, 600)</f>
        <v>961.71428571428567</v>
      </c>
      <c r="D40" s="23">
        <f>SUM(1000, 1130, 875, 1164, 1343, 1280, 1020, 855, 1178, 520, 252, 1147, 1100, 600)</f>
        <v>13464</v>
      </c>
      <c r="E40" s="23">
        <v>3</v>
      </c>
      <c r="F40" s="23">
        <v>14</v>
      </c>
    </row>
    <row r="41" spans="1:6" x14ac:dyDescent="0.35">
      <c r="A41" s="23">
        <v>1900</v>
      </c>
      <c r="B41" s="30">
        <f>AVERAGE(0.39, 0.38)*100/66.7</f>
        <v>0.57721139430284851</v>
      </c>
      <c r="C41" s="23">
        <f>AVERAGE(3780, 2700)</f>
        <v>3240</v>
      </c>
      <c r="D41" s="23">
        <f>SUM(3780, 2700)</f>
        <v>6480</v>
      </c>
      <c r="E41" s="23">
        <v>6</v>
      </c>
      <c r="F41" s="23">
        <v>2</v>
      </c>
    </row>
    <row r="42" spans="1:6" x14ac:dyDescent="0.35">
      <c r="A42" s="23">
        <v>1901</v>
      </c>
      <c r="B42" s="32">
        <f>AVERAGE(0.39, 0.38, 0.7)*100/66.7</f>
        <v>0.73463268365817092</v>
      </c>
      <c r="C42" s="33">
        <f>AVERAGE(3780, 2700, 2000)</f>
        <v>2826.6666666666665</v>
      </c>
      <c r="D42" s="34">
        <f>SUM(3780, 2700, 2000)</f>
        <v>8480</v>
      </c>
      <c r="E42" s="23">
        <v>6</v>
      </c>
      <c r="F42" s="23">
        <v>3</v>
      </c>
    </row>
    <row r="43" spans="1:6" x14ac:dyDescent="0.35">
      <c r="A43" s="23">
        <v>1902</v>
      </c>
      <c r="B43" s="32">
        <f>AVERAGE(0.39, 0.38, 0.7, 0.7)*100/66.7</f>
        <v>0.81334332833583201</v>
      </c>
      <c r="C43" s="33">
        <f>AVERAGE(3780, 2700, 2000, 2025)</f>
        <v>2626.25</v>
      </c>
      <c r="D43" s="34">
        <f>SUM(3780, 2700, 2000, 2025)</f>
        <v>10505</v>
      </c>
      <c r="E43" s="23">
        <v>6</v>
      </c>
      <c r="F43" s="23">
        <v>5</v>
      </c>
    </row>
    <row r="44" spans="1:6" x14ac:dyDescent="0.35">
      <c r="A44" s="23">
        <v>1903</v>
      </c>
      <c r="B44" s="32">
        <f>AVERAGE(0.39, 0.38, 0.7, 0.7)*100/71.3</f>
        <v>0.76086956521739135</v>
      </c>
      <c r="C44" s="33">
        <f>AVERAGE(3780, 2700, 2000, 2025)</f>
        <v>2626.25</v>
      </c>
      <c r="D44" s="34">
        <f>SUM(3780, 2700, 2000, 2025)</f>
        <v>10505</v>
      </c>
      <c r="E44" s="23">
        <v>6</v>
      </c>
      <c r="F44" s="23">
        <v>5</v>
      </c>
    </row>
    <row r="45" spans="1:6" x14ac:dyDescent="0.35">
      <c r="A45" s="23">
        <v>1904</v>
      </c>
      <c r="B45" s="30">
        <f>AVERAGE(0.39, 0.38, 0.7, 0.7, 0.7)*100/66.7</f>
        <v>0.86056971514242886</v>
      </c>
      <c r="C45" s="34">
        <f>AVERAGE(3780, 2700, 2000, 2025, 675)</f>
        <v>2236</v>
      </c>
      <c r="D45" s="34">
        <f>SUM(3780, 2700, 2000, 2025, 675)</f>
        <v>11180</v>
      </c>
      <c r="E45" s="23">
        <v>6</v>
      </c>
      <c r="F45" s="23">
        <v>7</v>
      </c>
    </row>
    <row r="46" spans="1:6" x14ac:dyDescent="0.35">
      <c r="A46" s="23">
        <v>1905</v>
      </c>
      <c r="B46" s="30">
        <f>AVERAGE(0.39, 0.38, 0.7, 0.7, 0.7)*100/66.7</f>
        <v>0.86056971514242886</v>
      </c>
      <c r="C46" s="34">
        <f>AVERAGE(3780, 2700, 2000, 2025, 675)</f>
        <v>2236</v>
      </c>
      <c r="D46" s="34">
        <f>SUM(3780, 2700, 2000, 2025, 675)</f>
        <v>11180</v>
      </c>
      <c r="E46" s="23">
        <v>6</v>
      </c>
      <c r="F46" s="23">
        <v>7</v>
      </c>
    </row>
    <row r="47" spans="1:6" x14ac:dyDescent="0.35">
      <c r="A47" s="23">
        <v>1906</v>
      </c>
      <c r="B47" s="32">
        <f>AVERAGE(0.7, 0.7, 0.7)*100/66.7</f>
        <v>1.0494752623688153</v>
      </c>
      <c r="C47" s="33">
        <f>AVERAGE(2000, 2025, 675)</f>
        <v>1566.6666666666667</v>
      </c>
      <c r="D47" s="34">
        <f>SUM(2000, 2025, 675)</f>
        <v>4700</v>
      </c>
      <c r="E47" s="23">
        <v>6</v>
      </c>
      <c r="F47" s="23">
        <v>5</v>
      </c>
    </row>
    <row r="48" spans="1:6" x14ac:dyDescent="0.35">
      <c r="A48" s="23">
        <v>1907</v>
      </c>
      <c r="B48" s="30">
        <f>0.7*100/66.7</f>
        <v>1.0494752623688155</v>
      </c>
      <c r="C48" s="34">
        <f>AVERAGE(2025, 675)</f>
        <v>1350</v>
      </c>
      <c r="D48" s="34">
        <f>SUM(2025, 675)</f>
        <v>2700</v>
      </c>
      <c r="E48" s="23">
        <v>6</v>
      </c>
      <c r="F48" s="23">
        <v>4</v>
      </c>
    </row>
    <row r="49" spans="1:6" x14ac:dyDescent="0.35">
      <c r="A49" s="23">
        <v>1908</v>
      </c>
      <c r="B49" s="30">
        <f>0.7*100/66.7</f>
        <v>1.0494752623688155</v>
      </c>
      <c r="C49" s="23">
        <f>AVERAGE(675)</f>
        <v>675</v>
      </c>
      <c r="D49" s="23">
        <f>SUM(675)</f>
        <v>675</v>
      </c>
      <c r="E49" s="23">
        <v>6</v>
      </c>
      <c r="F49" s="23">
        <v>2</v>
      </c>
    </row>
    <row r="50" spans="1:6" x14ac:dyDescent="0.35">
      <c r="A50" s="23">
        <v>1909</v>
      </c>
      <c r="B50" s="30">
        <f>0.7*100/66.7</f>
        <v>1.0494752623688155</v>
      </c>
      <c r="C50" s="23">
        <f t="shared" ref="C50:C51" si="2">AVERAGE(675)</f>
        <v>675</v>
      </c>
      <c r="D50" s="23">
        <f t="shared" ref="D50:D51" si="3">SUM(675)</f>
        <v>675</v>
      </c>
      <c r="E50" s="23">
        <v>6</v>
      </c>
      <c r="F50" s="23">
        <v>2</v>
      </c>
    </row>
    <row r="51" spans="1:6" x14ac:dyDescent="0.35">
      <c r="A51" s="23">
        <v>1910</v>
      </c>
      <c r="B51" s="30">
        <f>AVERAGE(0.7)*100/66.7</f>
        <v>1.0494752623688155</v>
      </c>
      <c r="C51" s="23">
        <f t="shared" si="2"/>
        <v>675</v>
      </c>
      <c r="D51" s="23">
        <f t="shared" si="3"/>
        <v>675</v>
      </c>
      <c r="E51" s="23">
        <v>6</v>
      </c>
      <c r="F51" s="23">
        <v>2</v>
      </c>
    </row>
    <row r="52" spans="1:6" x14ac:dyDescent="0.35">
      <c r="A52" s="23">
        <v>1911</v>
      </c>
      <c r="B52" s="29" t="e">
        <v>#N/A</v>
      </c>
      <c r="C52" s="29" t="e">
        <v>#N/A</v>
      </c>
      <c r="D52" s="29" t="e">
        <v>#N/A</v>
      </c>
      <c r="E52" s="29" t="e">
        <v>#N/A</v>
      </c>
      <c r="F52" s="29" t="e">
        <v>#N/A</v>
      </c>
    </row>
    <row r="53" spans="1:6" x14ac:dyDescent="0.35">
      <c r="A53" s="23">
        <v>1912</v>
      </c>
      <c r="B53" s="29" t="e">
        <v>#N/A</v>
      </c>
      <c r="C53" s="29" t="e">
        <v>#N/A</v>
      </c>
      <c r="D53" s="29" t="e">
        <v>#N/A</v>
      </c>
      <c r="E53" s="29" t="e">
        <v>#N/A</v>
      </c>
      <c r="F53" s="29" t="e">
        <v>#N/A</v>
      </c>
    </row>
    <row r="54" spans="1:6" x14ac:dyDescent="0.35">
      <c r="A54" s="23">
        <v>1913</v>
      </c>
      <c r="B54" s="29" t="e">
        <v>#N/A</v>
      </c>
      <c r="C54" s="29" t="e">
        <v>#N/A</v>
      </c>
      <c r="D54" s="29" t="e">
        <v>#N/A</v>
      </c>
      <c r="E54" s="29" t="e">
        <v>#N/A</v>
      </c>
      <c r="F54" s="29" t="e">
        <v>#N/A</v>
      </c>
    </row>
    <row r="55" spans="1:6" x14ac:dyDescent="0.35">
      <c r="A55" s="23">
        <v>1914</v>
      </c>
      <c r="B55" s="29" t="e">
        <v>#N/A</v>
      </c>
      <c r="C55" s="29" t="e">
        <v>#N/A</v>
      </c>
      <c r="D55" s="29" t="e">
        <v>#N/A</v>
      </c>
      <c r="E55" s="29" t="e">
        <v>#N/A</v>
      </c>
      <c r="F55" s="29" t="e">
        <v>#N/A</v>
      </c>
    </row>
    <row r="57" spans="1:6" x14ac:dyDescent="0.35">
      <c r="A57" s="24" t="s">
        <v>17</v>
      </c>
    </row>
    <row r="58" spans="1:6" x14ac:dyDescent="0.35">
      <c r="A58" s="24" t="s">
        <v>18</v>
      </c>
    </row>
    <row r="59" spans="1:6" x14ac:dyDescent="0.35">
      <c r="A59" s="24" t="s">
        <v>142</v>
      </c>
    </row>
    <row r="60" spans="1:6" s="24" customFormat="1" x14ac:dyDescent="0.35">
      <c r="A60" s="24" t="s">
        <v>19</v>
      </c>
    </row>
    <row r="61" spans="1:6" x14ac:dyDescent="0.35">
      <c r="A61" s="24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70" zoomScaleNormal="70" workbookViewId="0"/>
  </sheetViews>
  <sheetFormatPr defaultColWidth="9.1796875" defaultRowHeight="14.5" x14ac:dyDescent="0.35"/>
  <cols>
    <col min="1" max="1" width="12.36328125" style="1" customWidth="1"/>
    <col min="2" max="2" width="12.453125" style="1" customWidth="1"/>
    <col min="3" max="4" width="12.81640625" style="1" customWidth="1"/>
    <col min="5" max="5" width="13.453125" style="1" customWidth="1"/>
    <col min="6" max="6" width="14.36328125" style="1" bestFit="1" customWidth="1"/>
    <col min="7" max="7" width="12.36328125" style="1" customWidth="1"/>
    <col min="8" max="9" width="12.81640625" style="1" customWidth="1"/>
    <col min="10" max="10" width="13.453125" style="1" customWidth="1"/>
    <col min="11" max="11" width="13.6328125" style="1" customWidth="1"/>
    <col min="12" max="12" width="13" style="1" customWidth="1"/>
    <col min="13" max="16384" width="9.1796875" style="1"/>
  </cols>
  <sheetData>
    <row r="1" spans="1:12" ht="15" customHeight="1" x14ac:dyDescent="0.35">
      <c r="B1" s="59" t="s">
        <v>79</v>
      </c>
      <c r="C1" s="60"/>
      <c r="D1" s="60"/>
      <c r="E1" s="60"/>
      <c r="F1" s="61"/>
      <c r="G1" s="62" t="s">
        <v>108</v>
      </c>
      <c r="H1" s="63"/>
      <c r="I1" s="63"/>
      <c r="J1" s="63"/>
      <c r="K1" s="64"/>
    </row>
    <row r="2" spans="1:12" ht="43.5" x14ac:dyDescent="0.35">
      <c r="B2" s="7" t="s">
        <v>82</v>
      </c>
      <c r="C2" s="7" t="s">
        <v>77</v>
      </c>
      <c r="D2" s="7" t="s">
        <v>78</v>
      </c>
      <c r="E2" s="7" t="s">
        <v>80</v>
      </c>
      <c r="F2" s="7" t="s">
        <v>81</v>
      </c>
      <c r="G2" s="4" t="s">
        <v>82</v>
      </c>
      <c r="H2" s="4" t="s">
        <v>77</v>
      </c>
      <c r="I2" s="4" t="s">
        <v>78</v>
      </c>
      <c r="J2" s="4" t="s">
        <v>80</v>
      </c>
      <c r="K2" s="4" t="s">
        <v>81</v>
      </c>
    </row>
    <row r="3" spans="1:12" ht="43.5" x14ac:dyDescent="0.35">
      <c r="A3" s="3" t="s">
        <v>75</v>
      </c>
      <c r="B3" s="9">
        <f>('Nizhny Novgorod land leases'!B61-'Nizhny Novgorod land leases'!B7)/(50-1)</f>
        <v>3.2923413644515884E-2</v>
      </c>
      <c r="C3" s="8">
        <f>('Nizhny Novgorod land leases'!D62-'Nizhny Novgorod land leases'!D7)/(51-1)</f>
        <v>72.819999999999993</v>
      </c>
      <c r="D3" s="8">
        <f>('Nizhny Novgorod land leases'!E62-'Nizhny Novgorod land leases'!E7)/(51-1)</f>
        <v>1.64</v>
      </c>
      <c r="E3" s="9">
        <f>('Nizhny Novgorod land leases'!G62-'Nizhny Novgorod land leases'!G7)/(51-1)</f>
        <v>-0.02</v>
      </c>
      <c r="F3" s="9">
        <f>('Nizhny Novgorod land leases'!F62-'Nizhny Novgorod land leases'!F7)/(51-1)</f>
        <v>0.02</v>
      </c>
      <c r="G3" s="5">
        <f>(лесные_склады!B51-лесные_склады!B17)/(35-1)</f>
        <v>2.8219595925550751E-2</v>
      </c>
      <c r="H3" s="6">
        <f>(лесные_склады!C51-лесные_склады!C17)/(35-1)</f>
        <v>-15.441176470588236</v>
      </c>
      <c r="I3" s="6">
        <f>(лесные_склады!D51-лесные_склады!D17)/(35-1)</f>
        <v>-262.5</v>
      </c>
      <c r="J3" s="5">
        <f>(лесные_склады!F51-лесные_склады!F17)/(35-1)</f>
        <v>-0.17647058823529413</v>
      </c>
      <c r="K3" s="5">
        <f>(лесные_склады!E51-лесные_склады!E17)/(35-1)</f>
        <v>-0.17647058823529413</v>
      </c>
    </row>
    <row r="4" spans="1:12" ht="29" x14ac:dyDescent="0.35">
      <c r="A4" s="3" t="s">
        <v>76</v>
      </c>
      <c r="B4" s="9">
        <f>EXP((1/50)*(LN(0.15)-LN(0.03)))</f>
        <v>1.032712419896443</v>
      </c>
      <c r="C4" s="9">
        <f>EXP((1/50)*(LN(7200)-LN(3559)))</f>
        <v>1.0141917890812928</v>
      </c>
      <c r="D4" s="9">
        <f>EXP((1/50)*(LN(7200)-LN(7118)))</f>
        <v>1.0002291110206019</v>
      </c>
      <c r="E4" s="9">
        <f>EXP((1/50)*(LN(1)-LN(2)))</f>
        <v>0.9862327044933592</v>
      </c>
      <c r="F4" s="9">
        <f>EXP((1/49)*(LN(12)-LN(11)))</f>
        <v>1.0017773199517013</v>
      </c>
      <c r="G4" s="5">
        <f>EXP((1/34)*(LN(1)-LN(0.1)))</f>
        <v>1.0700689556931748</v>
      </c>
      <c r="H4" s="5">
        <f>EXP((1/34)*(LN(675)-LN(1200)))</f>
        <v>0.98321990595092579</v>
      </c>
      <c r="I4" s="5">
        <f>EXP((1/34)*(LN(675)-LN(9600)))</f>
        <v>0.92488810144918476</v>
      </c>
      <c r="J4" s="5">
        <f>EXP((1/34)*(LN(2)-LN(8)))</f>
        <v>0.96004668685479322</v>
      </c>
      <c r="K4" s="5">
        <f>EXP((1/34)*(LN(6)-LN(12)))</f>
        <v>0.97981972160943631</v>
      </c>
    </row>
    <row r="5" spans="1:12" x14ac:dyDescent="0.35">
      <c r="A5" s="3"/>
      <c r="B5" s="65" t="s">
        <v>106</v>
      </c>
      <c r="C5" s="66"/>
      <c r="D5" s="66"/>
      <c r="E5" s="66"/>
      <c r="F5" s="67"/>
      <c r="G5" s="68" t="s">
        <v>107</v>
      </c>
      <c r="H5" s="69"/>
      <c r="I5" s="69"/>
      <c r="J5" s="69"/>
      <c r="K5" s="70"/>
    </row>
    <row r="6" spans="1:12" x14ac:dyDescent="0.35">
      <c r="A6" s="10" t="s">
        <v>82</v>
      </c>
      <c r="B6" s="19" t="s">
        <v>83</v>
      </c>
      <c r="C6" s="2"/>
      <c r="D6" s="2"/>
      <c r="E6" s="14"/>
      <c r="F6" s="14"/>
      <c r="G6" s="14"/>
      <c r="H6" s="14"/>
      <c r="I6" s="14"/>
      <c r="K6" s="17" t="s">
        <v>58</v>
      </c>
      <c r="L6" s="15" t="s">
        <v>82</v>
      </c>
    </row>
    <row r="7" spans="1:12" ht="43.5" x14ac:dyDescent="0.35">
      <c r="A7" s="3" t="s">
        <v>75</v>
      </c>
      <c r="B7" s="13">
        <f>('Nizhny Novgorod land leases'!B41-'Nizhny Novgorod land leases'!B10)/35</f>
        <v>8.5503873687963296E-4</v>
      </c>
      <c r="C7" s="14"/>
      <c r="D7" s="14"/>
      <c r="E7" s="14"/>
      <c r="F7" s="14"/>
      <c r="G7" s="14"/>
      <c r="H7" s="14"/>
      <c r="I7" s="14"/>
      <c r="J7" s="14"/>
      <c r="K7" s="5">
        <f>(лесные_склады!B29-лесные_склады!B17)/13</f>
        <v>1.6096940670539074E-3</v>
      </c>
      <c r="L7" s="3" t="s">
        <v>75</v>
      </c>
    </row>
    <row r="8" spans="1:12" ht="29" x14ac:dyDescent="0.35">
      <c r="A8" s="3" t="s">
        <v>76</v>
      </c>
      <c r="B8" s="9">
        <f>EXP((1/35)*(LN('Nizhny Novgorod land leases'!B41)-LN('Nizhny Novgorod land leases'!B7)))</f>
        <v>1.0187833634046362</v>
      </c>
      <c r="C8" s="14"/>
      <c r="D8" s="14"/>
      <c r="E8" s="14"/>
      <c r="F8" s="14"/>
      <c r="G8" s="14"/>
      <c r="H8" s="14"/>
      <c r="I8" s="14"/>
      <c r="J8" s="14"/>
      <c r="K8" s="5">
        <f>EXP((1/13)*(LN(лесные_склады!B29)-LN(лесные_склады!B17)))</f>
        <v>1.0162095867863021</v>
      </c>
      <c r="L8" s="3" t="s">
        <v>76</v>
      </c>
    </row>
    <row r="9" spans="1:12" x14ac:dyDescent="0.35">
      <c r="A9" s="3"/>
      <c r="B9" s="19" t="s">
        <v>84</v>
      </c>
      <c r="C9" s="2"/>
      <c r="D9" s="2"/>
      <c r="E9" s="14"/>
      <c r="F9" s="14"/>
      <c r="G9" s="14"/>
      <c r="H9" s="14"/>
      <c r="I9" s="14"/>
      <c r="K9" s="18" t="s">
        <v>98</v>
      </c>
    </row>
    <row r="10" spans="1:12" ht="43.5" x14ac:dyDescent="0.35">
      <c r="A10" s="3" t="s">
        <v>75</v>
      </c>
      <c r="B10" s="9">
        <f>('Nizhny Novgorod land leases'!B55-'Nizhny Novgorod land leases'!B42)/12</f>
        <v>-8.7802880276279791E-2</v>
      </c>
      <c r="C10" s="14"/>
      <c r="D10" s="14"/>
      <c r="E10" s="14"/>
      <c r="F10" s="14"/>
      <c r="G10" s="14"/>
      <c r="H10" s="14"/>
      <c r="I10" s="14"/>
      <c r="J10" s="14"/>
      <c r="K10" s="5">
        <f>(лесные_склады!B40-лесные_склады!B30)/11</f>
        <v>2.3708528228673989E-2</v>
      </c>
      <c r="L10" s="3" t="s">
        <v>75</v>
      </c>
    </row>
    <row r="11" spans="1:12" ht="29" x14ac:dyDescent="0.35">
      <c r="A11" s="3" t="s">
        <v>76</v>
      </c>
      <c r="B11" s="9">
        <f>EXP((1/12)*(LN('Nizhny Novgorod land leases'!B55)-LN('Nizhny Novgorod land leases'!B41)))</f>
        <v>1.0356732030149158</v>
      </c>
      <c r="C11" s="14"/>
      <c r="D11" s="14"/>
      <c r="E11" s="14"/>
      <c r="F11" s="14"/>
      <c r="G11" s="14"/>
      <c r="H11" s="14"/>
      <c r="I11" s="14"/>
      <c r="J11" s="14"/>
      <c r="K11" s="5">
        <f>EXP((1/11)*(LN(лесные_склады!B40)-LN(лесные_склады!B30)))</f>
        <v>1.0444685115801482</v>
      </c>
      <c r="L11" s="3" t="s">
        <v>76</v>
      </c>
    </row>
    <row r="12" spans="1:12" x14ac:dyDescent="0.35">
      <c r="A12" s="3"/>
      <c r="B12" s="19" t="s">
        <v>85</v>
      </c>
      <c r="C12" s="2"/>
      <c r="D12" s="2"/>
      <c r="E12" s="14"/>
      <c r="F12" s="14"/>
      <c r="G12" s="14"/>
      <c r="H12" s="14"/>
      <c r="I12" s="14"/>
      <c r="K12" s="18" t="s">
        <v>99</v>
      </c>
    </row>
    <row r="13" spans="1:12" ht="43.5" x14ac:dyDescent="0.35">
      <c r="A13" s="3" t="s">
        <v>75</v>
      </c>
      <c r="B13" s="9">
        <f>('Nizhny Novgorod land leases'!B62-'Nizhny Novgorod land leases'!B59)/4</f>
        <v>-3.667767953695434E-2</v>
      </c>
      <c r="C13" s="14"/>
      <c r="D13" s="14"/>
      <c r="E13" s="14"/>
      <c r="F13" s="14"/>
      <c r="G13" s="14"/>
      <c r="H13" s="14"/>
      <c r="I13" s="14"/>
      <c r="J13" s="14"/>
      <c r="K13" s="5">
        <f>(лесные_склады!B51-лесные_склады!B41)/11</f>
        <v>4.2933078915087908E-2</v>
      </c>
      <c r="L13" s="3" t="s">
        <v>75</v>
      </c>
    </row>
    <row r="14" spans="1:12" ht="29" x14ac:dyDescent="0.35">
      <c r="A14" s="3" t="s">
        <v>76</v>
      </c>
      <c r="B14" s="9">
        <f>EXP((1/4)*(LN('Nizhny Novgorod land leases'!B62)-LN('Nizhny Novgorod land leases'!B59)))</f>
        <v>0.84536772736048194</v>
      </c>
      <c r="C14" s="14"/>
      <c r="D14" s="14"/>
      <c r="E14" s="14"/>
      <c r="F14" s="14"/>
      <c r="G14" s="14"/>
      <c r="H14" s="14"/>
      <c r="I14" s="14"/>
      <c r="J14" s="14"/>
      <c r="K14" s="5">
        <f>EXP((1/11)*(LN(лесные_склады!B51)-LN(лесные_склады!B41)))</f>
        <v>1.0558528386675192</v>
      </c>
      <c r="L14" s="3" t="s">
        <v>76</v>
      </c>
    </row>
    <row r="15" spans="1:12" x14ac:dyDescent="0.35">
      <c r="A15" s="10" t="s">
        <v>86</v>
      </c>
      <c r="B15" s="19" t="s">
        <v>87</v>
      </c>
      <c r="C15" s="2"/>
      <c r="D15" s="2"/>
      <c r="E15" s="14"/>
      <c r="F15" s="14"/>
      <c r="G15" s="14"/>
      <c r="H15" s="14"/>
      <c r="I15" s="14"/>
      <c r="K15" s="18" t="s">
        <v>100</v>
      </c>
      <c r="L15" s="11" t="s">
        <v>86</v>
      </c>
    </row>
    <row r="16" spans="1:12" ht="43.5" x14ac:dyDescent="0.35">
      <c r="A16" s="3" t="s">
        <v>75</v>
      </c>
      <c r="B16" s="8">
        <f>('Nizhny Novgorod land leases'!D30-'Nizhny Novgorod land leases'!D7)/24</f>
        <v>-37.71875</v>
      </c>
      <c r="C16" s="14"/>
      <c r="D16" s="14"/>
      <c r="E16" s="14"/>
      <c r="F16" s="14"/>
      <c r="G16" s="14"/>
      <c r="H16" s="14"/>
      <c r="I16" s="14"/>
      <c r="J16" s="14"/>
      <c r="K16" s="6">
        <f>(лесные_склады!C40-лесные_склады!C17)/24</f>
        <v>-9.9285714285714306</v>
      </c>
      <c r="L16" s="3" t="s">
        <v>75</v>
      </c>
    </row>
    <row r="17" spans="1:12" ht="29" x14ac:dyDescent="0.35">
      <c r="A17" s="3" t="s">
        <v>76</v>
      </c>
      <c r="B17" s="9">
        <f>EXP((1/24)*(LN('Nizhny Novgorod land leases'!D30)-LN('Nizhny Novgorod land leases'!D7)))</f>
        <v>0.98784506399147465</v>
      </c>
      <c r="C17" s="14"/>
      <c r="D17" s="14"/>
      <c r="E17" s="14"/>
      <c r="F17" s="14"/>
      <c r="G17" s="14"/>
      <c r="H17" s="14"/>
      <c r="I17" s="14"/>
      <c r="J17" s="14"/>
      <c r="K17" s="5">
        <f>EXP((1/24)*(LN(лесные_склады!C40)-LN(лесные_склады!C17)))</f>
        <v>0.99081909468697082</v>
      </c>
      <c r="L17" s="3" t="s">
        <v>76</v>
      </c>
    </row>
    <row r="18" spans="1:12" x14ac:dyDescent="0.35">
      <c r="A18" s="3"/>
      <c r="B18" s="19" t="s">
        <v>88</v>
      </c>
      <c r="C18" s="2"/>
      <c r="D18" s="2"/>
      <c r="E18" s="14"/>
      <c r="F18" s="14"/>
      <c r="G18" s="14"/>
      <c r="H18" s="14"/>
      <c r="I18" s="14"/>
      <c r="K18" s="18" t="s">
        <v>101</v>
      </c>
    </row>
    <row r="19" spans="1:12" ht="43.5" x14ac:dyDescent="0.35">
      <c r="A19" s="3" t="s">
        <v>75</v>
      </c>
      <c r="B19" s="8">
        <f>('Nizhny Novgorod land leases'!D43-'Nizhny Novgorod land leases'!D31)/13</f>
        <v>24.910256410256387</v>
      </c>
      <c r="C19" s="14"/>
      <c r="D19" s="14"/>
      <c r="E19" s="14"/>
      <c r="F19" s="14"/>
      <c r="G19" s="14"/>
      <c r="H19" s="14"/>
      <c r="I19" s="14"/>
      <c r="J19" s="14"/>
      <c r="K19" s="6">
        <f>(лесные_склады!C49-лесные_склады!C41)/9</f>
        <v>-285</v>
      </c>
      <c r="L19" s="3" t="s">
        <v>75</v>
      </c>
    </row>
    <row r="20" spans="1:12" ht="29" x14ac:dyDescent="0.35">
      <c r="A20" s="3" t="s">
        <v>76</v>
      </c>
      <c r="B20" s="9">
        <f>EXP((1/13)*(LN('Nizhny Novgorod land leases'!D43)-LN('Nizhny Novgorod land leases'!D31)))</f>
        <v>1.0066259633760328</v>
      </c>
      <c r="C20" s="14"/>
      <c r="D20" s="14"/>
      <c r="E20" s="14"/>
      <c r="F20" s="14"/>
      <c r="G20" s="14"/>
      <c r="H20" s="14"/>
      <c r="I20" s="14"/>
      <c r="J20" s="14"/>
      <c r="K20" s="5">
        <f>EXP((1/9)*(LN(лесные_склады!C49)-LN(лесные_склады!C41)))</f>
        <v>0.8400526945157234</v>
      </c>
      <c r="L20" s="3" t="s">
        <v>76</v>
      </c>
    </row>
    <row r="21" spans="1:12" x14ac:dyDescent="0.35">
      <c r="A21" s="3"/>
      <c r="B21" s="19" t="s">
        <v>89</v>
      </c>
      <c r="C21" s="2"/>
      <c r="D21" s="2"/>
      <c r="E21" s="14"/>
      <c r="F21" s="14"/>
      <c r="G21" s="14"/>
      <c r="H21" s="14"/>
      <c r="I21" s="14"/>
      <c r="K21" s="18" t="s">
        <v>102</v>
      </c>
    </row>
    <row r="22" spans="1:12" ht="43.5" x14ac:dyDescent="0.35">
      <c r="A22" s="3" t="s">
        <v>75</v>
      </c>
      <c r="B22" s="8">
        <f>('Nizhny Novgorod land leases'!D62-'Nizhny Novgorod land leases'!D44)/14</f>
        <v>-0.8571428571428571</v>
      </c>
      <c r="C22" s="14"/>
      <c r="D22" s="14"/>
      <c r="E22" s="14"/>
      <c r="F22" s="14"/>
      <c r="G22" s="14"/>
      <c r="H22" s="14"/>
      <c r="I22" s="14"/>
      <c r="J22" s="14"/>
      <c r="K22" s="6">
        <f>(лесные_склады!C51-лесные_склады!C50)/2</f>
        <v>0</v>
      </c>
      <c r="L22" s="3" t="s">
        <v>75</v>
      </c>
    </row>
    <row r="23" spans="1:12" ht="29" x14ac:dyDescent="0.35">
      <c r="A23" s="3" t="s">
        <v>76</v>
      </c>
      <c r="B23" s="9">
        <f>EXP((1/14)*(LN('Nizhny Novgorod land leases'!D62)-LN('Nizhny Novgorod land leases'!D44)))</f>
        <v>0.99988105855130494</v>
      </c>
      <c r="C23" s="14"/>
      <c r="D23" s="14"/>
      <c r="E23" s="14"/>
      <c r="F23" s="14"/>
      <c r="G23" s="14"/>
      <c r="H23" s="14"/>
      <c r="I23" s="14"/>
      <c r="J23" s="14"/>
      <c r="K23" s="5">
        <f>EXP((1/2)*(LN(лесные_склады!C51)-LN(лесные_склады!C50)))</f>
        <v>1</v>
      </c>
      <c r="L23" s="3" t="s">
        <v>76</v>
      </c>
    </row>
    <row r="24" spans="1:12" x14ac:dyDescent="0.35">
      <c r="A24" s="16" t="s">
        <v>90</v>
      </c>
      <c r="B24" s="19" t="s">
        <v>91</v>
      </c>
      <c r="C24" s="2"/>
      <c r="D24" s="2"/>
      <c r="E24" s="14"/>
      <c r="F24" s="14"/>
      <c r="G24" s="14"/>
      <c r="H24" s="14"/>
      <c r="I24" s="14"/>
      <c r="K24" s="18" t="s">
        <v>58</v>
      </c>
      <c r="L24" s="15" t="s">
        <v>90</v>
      </c>
    </row>
    <row r="25" spans="1:12" ht="43.5" x14ac:dyDescent="0.35">
      <c r="A25" s="3" t="s">
        <v>75</v>
      </c>
      <c r="B25" s="12">
        <f>('Nizhny Novgorod land leases'!G47-'Nizhny Novgorod land leases'!G7)/23</f>
        <v>0.13043478260869565</v>
      </c>
      <c r="C25" s="14"/>
      <c r="D25" s="14"/>
      <c r="E25" s="14"/>
      <c r="F25" s="14"/>
      <c r="G25" s="14"/>
      <c r="H25" s="14"/>
      <c r="I25" s="14"/>
      <c r="J25" s="14"/>
      <c r="K25" s="6">
        <f>(лесные_склады!F29-лесные_склады!F17)/13</f>
        <v>0</v>
      </c>
      <c r="L25" s="3" t="s">
        <v>75</v>
      </c>
    </row>
    <row r="26" spans="1:12" ht="29" x14ac:dyDescent="0.35">
      <c r="A26" s="3" t="s">
        <v>76</v>
      </c>
      <c r="B26" s="9">
        <f>EXP((1/23)*(LN('Nizhny Novgorod land leases'!G29)-LN('Nizhny Novgorod land leases'!G7)))</f>
        <v>1.017785224268259</v>
      </c>
      <c r="C26" s="14"/>
      <c r="D26" s="14"/>
      <c r="E26" s="14"/>
      <c r="F26" s="14"/>
      <c r="G26" s="14"/>
      <c r="H26" s="14"/>
      <c r="I26" s="14"/>
      <c r="J26" s="14"/>
      <c r="K26" s="5">
        <f>EXP((1/13)*(LN(лесные_склады!F29)-LN(лесные_склады!F17)))</f>
        <v>1</v>
      </c>
      <c r="L26" s="3" t="s">
        <v>76</v>
      </c>
    </row>
    <row r="27" spans="1:12" x14ac:dyDescent="0.35">
      <c r="A27" s="3"/>
      <c r="B27" s="19" t="s">
        <v>92</v>
      </c>
      <c r="C27" s="2"/>
      <c r="D27" s="2"/>
      <c r="E27" s="14"/>
      <c r="F27" s="14"/>
      <c r="G27" s="14"/>
      <c r="H27" s="14"/>
      <c r="I27" s="14"/>
      <c r="K27" s="18" t="s">
        <v>103</v>
      </c>
    </row>
    <row r="28" spans="1:12" ht="43.5" x14ac:dyDescent="0.35">
      <c r="A28" s="3" t="s">
        <v>75</v>
      </c>
      <c r="B28" s="12">
        <f>('Nizhny Novgorod land leases'!G41-'Nizhny Novgorod land leases'!G30)/(12)</f>
        <v>-0.16666666666666666</v>
      </c>
      <c r="C28" s="14"/>
      <c r="D28" s="14"/>
      <c r="E28" s="14"/>
      <c r="F28" s="14"/>
      <c r="G28" s="14"/>
      <c r="H28" s="14"/>
      <c r="I28" s="14"/>
      <c r="J28" s="14"/>
      <c r="K28" s="6">
        <f>(лесные_склады!F41-лесные_склады!F30)/12</f>
        <v>-1.1666666666666667</v>
      </c>
      <c r="L28" s="3" t="s">
        <v>75</v>
      </c>
    </row>
    <row r="29" spans="1:12" ht="29" x14ac:dyDescent="0.35">
      <c r="A29" s="3" t="s">
        <v>76</v>
      </c>
      <c r="B29" s="9">
        <f>EXP((1/12)*(LN('Nizhny Novgorod land leases'!G41)-LN('Nizhny Novgorod land leases'!G30)))</f>
        <v>0.94387431268169353</v>
      </c>
      <c r="C29" s="14"/>
      <c r="D29" s="14"/>
      <c r="E29" s="14"/>
      <c r="F29" s="14"/>
      <c r="G29" s="14"/>
      <c r="H29" s="14"/>
      <c r="I29" s="14"/>
      <c r="J29" s="14"/>
      <c r="K29" s="5">
        <f>EXP((1/12)*(LN(лесные_склады!F41)-LN(лесные_склады!F30)))</f>
        <v>0.84089641525371461</v>
      </c>
      <c r="L29" s="3" t="s">
        <v>76</v>
      </c>
    </row>
    <row r="30" spans="1:12" x14ac:dyDescent="0.35">
      <c r="A30" s="3"/>
      <c r="B30" s="19" t="s">
        <v>93</v>
      </c>
      <c r="C30" s="2"/>
      <c r="D30" s="2"/>
      <c r="E30" s="14"/>
      <c r="F30" s="14"/>
      <c r="G30" s="14"/>
      <c r="H30" s="14"/>
      <c r="I30" s="14"/>
      <c r="K30" s="18" t="s">
        <v>104</v>
      </c>
    </row>
    <row r="31" spans="1:12" ht="43.5" x14ac:dyDescent="0.35">
      <c r="A31" s="3" t="s">
        <v>75</v>
      </c>
      <c r="B31" s="12">
        <f>('Nizhny Novgorod land leases'!G62-'Nizhny Novgorod land leases'!G42)/16</f>
        <v>-0.4375</v>
      </c>
      <c r="C31" s="14"/>
      <c r="D31" s="14"/>
      <c r="E31" s="14"/>
      <c r="F31" s="14"/>
      <c r="G31" s="14"/>
      <c r="H31" s="14"/>
      <c r="I31" s="14"/>
      <c r="J31" s="14"/>
      <c r="K31" s="6">
        <f>(лесные_склады!F51-лесные_склады!F42)/10</f>
        <v>-0.1</v>
      </c>
      <c r="L31" s="3" t="s">
        <v>75</v>
      </c>
    </row>
    <row r="32" spans="1:12" ht="29" x14ac:dyDescent="0.35">
      <c r="A32" s="3" t="s">
        <v>76</v>
      </c>
      <c r="B32" s="9">
        <f>EXP((1/16)*(LN('Nizhny Novgorod land leases'!G62)-LN('Nizhny Novgorod land leases'!G42)))</f>
        <v>0.87812608018664973</v>
      </c>
      <c r="C32" s="14"/>
      <c r="D32" s="14"/>
      <c r="E32" s="14"/>
      <c r="F32" s="14"/>
      <c r="G32" s="14"/>
      <c r="H32" s="14"/>
      <c r="I32" s="14"/>
      <c r="J32" s="14"/>
      <c r="K32" s="5">
        <f>EXP((1/10)*(LN(лесные_склады!F51)-LN(лесные_склады!F42)))</f>
        <v>0.96026450079221803</v>
      </c>
      <c r="L32" s="3" t="s">
        <v>76</v>
      </c>
    </row>
    <row r="33" spans="1:12" x14ac:dyDescent="0.35">
      <c r="A33" s="10" t="s">
        <v>94</v>
      </c>
      <c r="B33" s="19" t="s">
        <v>95</v>
      </c>
      <c r="C33" s="2"/>
      <c r="D33" s="2"/>
      <c r="E33" s="14"/>
      <c r="F33" s="14"/>
      <c r="G33" s="14"/>
      <c r="H33" s="14"/>
      <c r="I33" s="14"/>
      <c r="K33" s="18" t="s">
        <v>58</v>
      </c>
      <c r="L33" s="15" t="s">
        <v>94</v>
      </c>
    </row>
    <row r="34" spans="1:12" ht="43.5" x14ac:dyDescent="0.35">
      <c r="A34" s="3" t="s">
        <v>75</v>
      </c>
      <c r="B34" s="12">
        <f>('Nizhny Novgorod land leases'!F24-'Nizhny Novgorod land leases'!F7)/18</f>
        <v>-0.17592592592592593</v>
      </c>
      <c r="C34" s="14"/>
      <c r="D34" s="14"/>
      <c r="E34" s="14"/>
      <c r="F34" s="14"/>
      <c r="G34" s="14"/>
      <c r="H34" s="14"/>
      <c r="I34" s="14"/>
      <c r="J34" s="14"/>
      <c r="K34" s="6">
        <f>(лесные_склады!E29-лесные_склады!E17)/13</f>
        <v>0</v>
      </c>
      <c r="L34" s="3" t="s">
        <v>75</v>
      </c>
    </row>
    <row r="35" spans="1:12" ht="29" x14ac:dyDescent="0.35">
      <c r="A35" s="3" t="s">
        <v>76</v>
      </c>
      <c r="B35" s="9">
        <f>EXP((1/18)*(LN('Nizhny Novgorod land leases'!F24)-LN('Nizhny Novgorod land leases'!F7)))</f>
        <v>0.98131525734582548</v>
      </c>
      <c r="C35" s="14"/>
      <c r="D35" s="14"/>
      <c r="E35" s="14"/>
      <c r="F35" s="14"/>
      <c r="G35" s="14"/>
      <c r="H35" s="14"/>
      <c r="I35" s="14"/>
      <c r="J35" s="14"/>
      <c r="K35" s="5">
        <f>EXP((1/13)*(LN(лесные_склады!E29)-LN(лесные_склады!E17)))</f>
        <v>1</v>
      </c>
      <c r="L35" s="3" t="s">
        <v>76</v>
      </c>
    </row>
    <row r="36" spans="1:12" x14ac:dyDescent="0.35">
      <c r="A36" s="3"/>
      <c r="B36" s="19" t="s">
        <v>96</v>
      </c>
      <c r="C36" s="2"/>
      <c r="D36" s="2"/>
      <c r="E36" s="14"/>
      <c r="F36" s="14"/>
      <c r="G36" s="14"/>
      <c r="H36" s="14"/>
      <c r="I36" s="14"/>
      <c r="K36" s="18" t="s">
        <v>98</v>
      </c>
    </row>
    <row r="37" spans="1:12" ht="43.5" x14ac:dyDescent="0.35">
      <c r="A37" s="3" t="s">
        <v>75</v>
      </c>
      <c r="B37" s="12">
        <f>('Nizhny Novgorod land leases'!F48-'Nizhny Novgorod land leases'!F25)/24</f>
        <v>-9.0277777777777748E-2</v>
      </c>
      <c r="C37" s="14"/>
      <c r="D37" s="14"/>
      <c r="E37" s="14"/>
      <c r="F37" s="14"/>
      <c r="G37" s="14"/>
      <c r="H37" s="14"/>
      <c r="I37" s="14"/>
      <c r="J37" s="14"/>
      <c r="K37" s="6">
        <f>(лесные_склады!E32-лесные_склады!E20)/11</f>
        <v>-0.81818181818181823</v>
      </c>
      <c r="L37" s="3" t="s">
        <v>75</v>
      </c>
    </row>
    <row r="38" spans="1:12" ht="29" x14ac:dyDescent="0.35">
      <c r="A38" s="3" t="s">
        <v>76</v>
      </c>
      <c r="B38" s="9">
        <f>EXP((1/24)*(LN('Nizhny Novgorod land leases'!F48)-LN('Nizhny Novgorod land leases'!F25)))</f>
        <v>0.98723626629271999</v>
      </c>
      <c r="C38" s="14"/>
      <c r="D38" s="14"/>
      <c r="E38" s="14"/>
      <c r="F38" s="14"/>
      <c r="G38" s="14"/>
      <c r="H38" s="14"/>
      <c r="I38" s="14"/>
      <c r="J38" s="14"/>
      <c r="K38" s="5">
        <f>EXP((1/11)*(LN(лесные_склады!E40)-LN(лесные_склады!E30)))</f>
        <v>1</v>
      </c>
      <c r="L38" s="3" t="s">
        <v>76</v>
      </c>
    </row>
    <row r="39" spans="1:12" x14ac:dyDescent="0.35">
      <c r="A39" s="3"/>
      <c r="B39" s="19" t="s">
        <v>97</v>
      </c>
      <c r="C39" s="2"/>
      <c r="D39" s="2"/>
      <c r="E39" s="14"/>
      <c r="F39" s="14"/>
      <c r="G39" s="14"/>
      <c r="H39" s="14"/>
      <c r="I39" s="14"/>
      <c r="K39" s="18" t="s">
        <v>99</v>
      </c>
    </row>
    <row r="40" spans="1:12" ht="43.5" x14ac:dyDescent="0.35">
      <c r="A40" s="3" t="s">
        <v>75</v>
      </c>
      <c r="B40" s="12">
        <f>('Nizhny Novgorod land leases'!F61-'Nizhny Novgorod land leases'!F49)/8</f>
        <v>0</v>
      </c>
      <c r="C40" s="14"/>
      <c r="D40" s="14"/>
      <c r="E40" s="14"/>
      <c r="F40" s="14"/>
      <c r="G40" s="14"/>
      <c r="H40" s="14"/>
      <c r="I40" s="14"/>
      <c r="J40" s="14"/>
      <c r="K40" s="6">
        <f>(лесные_склады!E51-лесные_склады!E41)/11</f>
        <v>0</v>
      </c>
      <c r="L40" s="3" t="s">
        <v>75</v>
      </c>
    </row>
    <row r="41" spans="1:12" ht="29" x14ac:dyDescent="0.35">
      <c r="A41" s="3" t="s">
        <v>76</v>
      </c>
      <c r="B41" s="9">
        <f>EXP((1/8)*(LN('Nizhny Novgorod land leases'!F62)-LN('Nizhny Novgorod land leases'!F49)))</f>
        <v>1.364261601821366</v>
      </c>
      <c r="C41" s="14"/>
      <c r="D41" s="14"/>
      <c r="E41" s="14"/>
      <c r="F41" s="14"/>
      <c r="G41" s="14"/>
      <c r="H41" s="14"/>
      <c r="I41" s="14"/>
      <c r="J41" s="14"/>
      <c r="K41" s="5">
        <f>EXP((1/11)*(LN(лесные_склады!E51)-LN(лесные_склады!E41)))</f>
        <v>1</v>
      </c>
      <c r="L41" s="3" t="s">
        <v>76</v>
      </c>
    </row>
  </sheetData>
  <mergeCells count="4">
    <mergeCell ref="B1:F1"/>
    <mergeCell ref="G1:K1"/>
    <mergeCell ref="B5:F5"/>
    <mergeCell ref="G5:K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defaultColWidth="9.1796875" defaultRowHeight="15.5" x14ac:dyDescent="0.35"/>
  <cols>
    <col min="1" max="1" width="9.1796875" style="24"/>
    <col min="2" max="2" width="11" style="24" customWidth="1"/>
    <col min="3" max="3" width="9.6328125" style="24" customWidth="1"/>
    <col min="4" max="4" width="11.81640625" style="24" customWidth="1"/>
    <col min="5" max="5" width="19.453125" style="24" customWidth="1"/>
    <col min="6" max="6" width="12" style="24" customWidth="1"/>
    <col min="7" max="16384" width="9.1796875" style="24"/>
  </cols>
  <sheetData>
    <row r="1" spans="1:7" ht="18.5" x14ac:dyDescent="0.45">
      <c r="A1" s="25" t="s">
        <v>140</v>
      </c>
    </row>
    <row r="2" spans="1:7" ht="20" customHeight="1" x14ac:dyDescent="0.45">
      <c r="A2" s="45" t="s">
        <v>135</v>
      </c>
      <c r="C2" s="37"/>
    </row>
    <row r="3" spans="1:7" s="43" customFormat="1" ht="49" customHeight="1" x14ac:dyDescent="0.35">
      <c r="B3" s="44" t="s">
        <v>114</v>
      </c>
      <c r="C3" s="44" t="s">
        <v>115</v>
      </c>
      <c r="D3" s="43" t="s">
        <v>116</v>
      </c>
      <c r="E3" s="43" t="s">
        <v>117</v>
      </c>
      <c r="F3" s="56" t="s">
        <v>113</v>
      </c>
      <c r="G3" s="57"/>
    </row>
    <row r="4" spans="1:7" ht="33" customHeight="1" x14ac:dyDescent="0.35">
      <c r="A4" s="37" t="s">
        <v>3</v>
      </c>
      <c r="B4" s="27" t="s">
        <v>1</v>
      </c>
      <c r="C4" s="36" t="s">
        <v>2</v>
      </c>
      <c r="D4" s="36" t="s">
        <v>4</v>
      </c>
      <c r="E4" s="74" t="s">
        <v>133</v>
      </c>
      <c r="F4" s="36" t="s">
        <v>134</v>
      </c>
    </row>
    <row r="5" spans="1:7" x14ac:dyDescent="0.35">
      <c r="A5" s="24">
        <v>1859</v>
      </c>
      <c r="B5" s="37"/>
      <c r="C5" s="37"/>
      <c r="D5" s="37"/>
      <c r="E5" s="75"/>
      <c r="F5" s="38">
        <v>83.5</v>
      </c>
    </row>
    <row r="6" spans="1:7" x14ac:dyDescent="0.35">
      <c r="A6" s="24">
        <v>1860</v>
      </c>
      <c r="B6" s="37"/>
      <c r="C6" s="37"/>
      <c r="D6" s="37"/>
      <c r="E6" s="75"/>
      <c r="F6" s="38">
        <v>94.4</v>
      </c>
    </row>
    <row r="7" spans="1:7" x14ac:dyDescent="0.35">
      <c r="A7" s="24">
        <v>1861</v>
      </c>
      <c r="B7" s="37"/>
      <c r="C7" s="37"/>
      <c r="D7" s="37"/>
      <c r="E7" s="75"/>
      <c r="F7" s="38">
        <v>88.7</v>
      </c>
    </row>
    <row r="8" spans="1:7" x14ac:dyDescent="0.35">
      <c r="A8" s="24">
        <v>1862</v>
      </c>
      <c r="B8" s="37"/>
      <c r="C8" s="37"/>
      <c r="D8" s="37"/>
      <c r="E8" s="75"/>
      <c r="F8" s="38">
        <v>85.5</v>
      </c>
    </row>
    <row r="9" spans="1:7" x14ac:dyDescent="0.35">
      <c r="A9" s="24">
        <v>1863</v>
      </c>
      <c r="B9" s="37"/>
      <c r="C9" s="37"/>
      <c r="D9" s="37"/>
      <c r="E9" s="75"/>
      <c r="F9" s="38">
        <v>98.2</v>
      </c>
    </row>
    <row r="10" spans="1:7" x14ac:dyDescent="0.35">
      <c r="A10" s="24">
        <v>1864</v>
      </c>
      <c r="B10" s="37"/>
      <c r="C10" s="37"/>
      <c r="D10" s="37"/>
      <c r="E10" s="75"/>
      <c r="F10" s="38">
        <v>77.3</v>
      </c>
    </row>
    <row r="11" spans="1:7" x14ac:dyDescent="0.35">
      <c r="A11" s="24">
        <v>1865</v>
      </c>
      <c r="B11" s="37"/>
      <c r="C11" s="37"/>
      <c r="D11" s="37"/>
      <c r="E11" s="75"/>
      <c r="F11" s="38">
        <v>81.8</v>
      </c>
    </row>
    <row r="12" spans="1:7" x14ac:dyDescent="0.35">
      <c r="A12" s="24">
        <v>1866</v>
      </c>
      <c r="B12" s="37"/>
      <c r="C12" s="37"/>
      <c r="D12" s="37"/>
      <c r="E12" s="75"/>
      <c r="F12" s="39">
        <v>68</v>
      </c>
    </row>
    <row r="13" spans="1:7" x14ac:dyDescent="0.35">
      <c r="A13" s="24">
        <v>1867</v>
      </c>
      <c r="B13" s="37"/>
      <c r="C13" s="37"/>
      <c r="D13" s="37"/>
      <c r="E13" s="75"/>
      <c r="F13" s="38">
        <v>90.7</v>
      </c>
    </row>
    <row r="14" spans="1:7" x14ac:dyDescent="0.35">
      <c r="A14" s="24">
        <v>1868</v>
      </c>
      <c r="B14" s="37"/>
      <c r="C14" s="37"/>
      <c r="D14" s="37"/>
      <c r="E14" s="75"/>
      <c r="F14" s="38">
        <v>85.5</v>
      </c>
    </row>
    <row r="15" spans="1:7" x14ac:dyDescent="0.35">
      <c r="A15" s="24">
        <v>1869</v>
      </c>
      <c r="B15" s="37"/>
      <c r="C15" s="37"/>
      <c r="D15" s="37"/>
      <c r="E15" s="75"/>
      <c r="F15" s="38">
        <v>76.400000000000006</v>
      </c>
    </row>
    <row r="16" spans="1:7" x14ac:dyDescent="0.35">
      <c r="A16" s="24">
        <v>1870</v>
      </c>
      <c r="B16" s="37"/>
      <c r="C16" s="37"/>
      <c r="D16" s="37"/>
      <c r="E16" s="75"/>
      <c r="F16" s="38">
        <v>77.7</v>
      </c>
    </row>
    <row r="17" spans="1:6" x14ac:dyDescent="0.35">
      <c r="A17" s="24">
        <v>1871</v>
      </c>
      <c r="B17" s="37"/>
      <c r="C17" s="37"/>
      <c r="D17" s="37"/>
      <c r="E17" s="75"/>
      <c r="F17" s="38">
        <v>85.2</v>
      </c>
    </row>
    <row r="18" spans="1:6" x14ac:dyDescent="0.35">
      <c r="A18" s="24">
        <v>1872</v>
      </c>
      <c r="B18" s="37"/>
      <c r="C18" s="37"/>
      <c r="D18" s="37"/>
      <c r="E18" s="75"/>
      <c r="F18" s="38">
        <v>85.1</v>
      </c>
    </row>
    <row r="19" spans="1:6" x14ac:dyDescent="0.35">
      <c r="A19" s="24">
        <v>1873</v>
      </c>
      <c r="B19" s="37"/>
      <c r="C19" s="37"/>
      <c r="D19" s="37"/>
      <c r="E19" s="75"/>
      <c r="F19" s="38">
        <v>84.4</v>
      </c>
    </row>
    <row r="20" spans="1:6" x14ac:dyDescent="0.35">
      <c r="A20" s="24">
        <v>1874</v>
      </c>
      <c r="B20" s="37"/>
      <c r="C20" s="37"/>
      <c r="D20" s="37"/>
      <c r="E20" s="75"/>
      <c r="F20" s="38">
        <v>86.8</v>
      </c>
    </row>
    <row r="21" spans="1:6" x14ac:dyDescent="0.35">
      <c r="A21" s="24">
        <v>1875</v>
      </c>
      <c r="B21" s="37"/>
      <c r="C21" s="37"/>
      <c r="D21" s="37"/>
      <c r="E21" s="75"/>
      <c r="F21" s="38">
        <v>85.8</v>
      </c>
    </row>
    <row r="22" spans="1:6" x14ac:dyDescent="0.35">
      <c r="A22" s="24">
        <v>1876</v>
      </c>
      <c r="B22" s="37"/>
      <c r="C22" s="37"/>
      <c r="D22" s="37"/>
      <c r="E22" s="75"/>
      <c r="F22" s="38">
        <v>80.599999999999994</v>
      </c>
    </row>
    <row r="23" spans="1:6" x14ac:dyDescent="0.35">
      <c r="A23" s="24">
        <v>1877</v>
      </c>
      <c r="B23" s="37"/>
      <c r="C23" s="37"/>
      <c r="D23" s="37"/>
      <c r="E23" s="75"/>
      <c r="F23" s="38">
        <v>67.400000000000006</v>
      </c>
    </row>
    <row r="24" spans="1:6" x14ac:dyDescent="0.35">
      <c r="A24" s="24">
        <v>1878</v>
      </c>
      <c r="B24" s="37"/>
      <c r="C24" s="37"/>
      <c r="D24" s="37"/>
      <c r="E24" s="75"/>
      <c r="F24" s="38">
        <v>64.599999999999994</v>
      </c>
    </row>
    <row r="25" spans="1:6" x14ac:dyDescent="0.35">
      <c r="A25" s="24">
        <v>1879</v>
      </c>
      <c r="B25" s="37"/>
      <c r="C25" s="37"/>
      <c r="D25" s="37"/>
      <c r="E25" s="75"/>
      <c r="F25" s="38">
        <v>63.1</v>
      </c>
    </row>
    <row r="26" spans="1:6" x14ac:dyDescent="0.35">
      <c r="A26" s="24">
        <v>1880</v>
      </c>
      <c r="B26" s="37"/>
      <c r="C26" s="37"/>
      <c r="D26" s="37"/>
      <c r="E26" s="75"/>
      <c r="F26" s="38">
        <v>64.400000000000006</v>
      </c>
    </row>
    <row r="27" spans="1:6" x14ac:dyDescent="0.35">
      <c r="A27" s="24">
        <v>1881</v>
      </c>
      <c r="B27" s="37"/>
      <c r="C27" s="37"/>
      <c r="D27" s="37"/>
      <c r="E27" s="75"/>
      <c r="F27" s="38">
        <v>65.7</v>
      </c>
    </row>
    <row r="28" spans="1:6" x14ac:dyDescent="0.35">
      <c r="A28" s="24">
        <v>1882</v>
      </c>
      <c r="B28" s="37"/>
      <c r="C28" s="37"/>
      <c r="D28" s="37"/>
      <c r="E28" s="75"/>
      <c r="F28" s="38">
        <v>63.1</v>
      </c>
    </row>
    <row r="29" spans="1:6" x14ac:dyDescent="0.35">
      <c r="A29" s="24">
        <v>1883</v>
      </c>
      <c r="B29" s="37"/>
      <c r="C29" s="37"/>
      <c r="D29" s="37"/>
      <c r="E29" s="75"/>
      <c r="F29" s="38">
        <v>61.8</v>
      </c>
    </row>
    <row r="30" spans="1:6" x14ac:dyDescent="0.35">
      <c r="A30" s="24">
        <v>1884</v>
      </c>
      <c r="B30" s="37"/>
      <c r="C30" s="37"/>
      <c r="D30" s="37"/>
      <c r="E30" s="75"/>
      <c r="F30" s="38">
        <v>63.4</v>
      </c>
    </row>
    <row r="31" spans="1:6" x14ac:dyDescent="0.35">
      <c r="A31" s="24">
        <v>1885</v>
      </c>
      <c r="B31" s="37"/>
      <c r="C31" s="37"/>
      <c r="D31" s="37"/>
      <c r="E31" s="75"/>
      <c r="F31" s="38">
        <v>63.3</v>
      </c>
    </row>
    <row r="32" spans="1:6" x14ac:dyDescent="0.35">
      <c r="A32" s="24">
        <v>1886</v>
      </c>
      <c r="B32" s="37"/>
      <c r="C32" s="37"/>
      <c r="D32" s="37"/>
      <c r="E32" s="75"/>
      <c r="F32" s="38">
        <v>60.7</v>
      </c>
    </row>
    <row r="33" spans="1:6" x14ac:dyDescent="0.35">
      <c r="A33" s="24">
        <v>1887</v>
      </c>
      <c r="B33" s="24">
        <v>80.900000000000006</v>
      </c>
      <c r="C33" s="24">
        <v>67.599999999999994</v>
      </c>
      <c r="D33" s="40">
        <f>B33/C33</f>
        <v>1.1967455621301777</v>
      </c>
      <c r="E33" s="76">
        <f>66.7/D33</f>
        <v>55.734487021013592</v>
      </c>
      <c r="F33" s="41">
        <v>55.7</v>
      </c>
    </row>
    <row r="34" spans="1:6" x14ac:dyDescent="0.35">
      <c r="A34" s="24">
        <v>1888</v>
      </c>
      <c r="B34" s="35">
        <v>86.2</v>
      </c>
      <c r="C34" s="35">
        <v>77</v>
      </c>
      <c r="D34" s="40">
        <f t="shared" ref="D34:D60" si="0">B34/C34</f>
        <v>1.1194805194805195</v>
      </c>
      <c r="E34" s="76">
        <f t="shared" ref="E34:E60" si="1">66.7/D34</f>
        <v>59.581206496519719</v>
      </c>
      <c r="F34" s="41">
        <v>59.5</v>
      </c>
    </row>
    <row r="35" spans="1:6" x14ac:dyDescent="0.35">
      <c r="A35" s="24">
        <v>1889</v>
      </c>
      <c r="B35" s="35">
        <v>83.4</v>
      </c>
      <c r="C35" s="35">
        <v>82.5</v>
      </c>
      <c r="D35" s="40">
        <f t="shared" si="0"/>
        <v>1.010909090909091</v>
      </c>
      <c r="E35" s="76">
        <f t="shared" si="1"/>
        <v>65.980215827338128</v>
      </c>
      <c r="F35" s="41">
        <v>65.900000000000006</v>
      </c>
    </row>
    <row r="36" spans="1:6" x14ac:dyDescent="0.35">
      <c r="A36" s="24">
        <v>1890</v>
      </c>
      <c r="B36" s="35">
        <v>73.7</v>
      </c>
      <c r="C36" s="35">
        <v>80.2</v>
      </c>
      <c r="D36" s="40">
        <f t="shared" si="0"/>
        <v>0.91895261845386533</v>
      </c>
      <c r="E36" s="76">
        <f t="shared" si="1"/>
        <v>72.582632293080053</v>
      </c>
      <c r="F36" s="41">
        <v>72.599999999999994</v>
      </c>
    </row>
    <row r="37" spans="1:6" x14ac:dyDescent="0.35">
      <c r="A37" s="24">
        <v>1891</v>
      </c>
      <c r="B37" s="35">
        <v>74.8</v>
      </c>
      <c r="C37" s="35">
        <v>74.900000000000006</v>
      </c>
      <c r="D37" s="40">
        <f t="shared" si="0"/>
        <v>0.99866488651535368</v>
      </c>
      <c r="E37" s="76">
        <f t="shared" si="1"/>
        <v>66.789171122994659</v>
      </c>
      <c r="F37" s="41">
        <v>66.8</v>
      </c>
    </row>
    <row r="38" spans="1:6" x14ac:dyDescent="0.35">
      <c r="A38" s="24">
        <v>1892</v>
      </c>
      <c r="B38" s="35">
        <v>73.2</v>
      </c>
      <c r="C38" s="35">
        <v>69.2</v>
      </c>
      <c r="D38" s="40">
        <f t="shared" si="0"/>
        <v>1.0578034682080926</v>
      </c>
      <c r="E38" s="76">
        <f t="shared" si="1"/>
        <v>63.055191256830597</v>
      </c>
      <c r="F38" s="41">
        <v>63.1</v>
      </c>
    </row>
    <row r="39" spans="1:6" x14ac:dyDescent="0.35">
      <c r="A39" s="24">
        <v>1893</v>
      </c>
      <c r="B39" s="35">
        <v>75.900000000000006</v>
      </c>
      <c r="C39" s="35">
        <v>74.3</v>
      </c>
      <c r="D39" s="40">
        <f t="shared" si="0"/>
        <v>1.0215343203230149</v>
      </c>
      <c r="E39" s="76">
        <f t="shared" si="1"/>
        <v>65.293939393939382</v>
      </c>
      <c r="F39" s="41">
        <v>65.3</v>
      </c>
    </row>
    <row r="40" spans="1:6" x14ac:dyDescent="0.35">
      <c r="A40" s="24">
        <v>1894</v>
      </c>
      <c r="B40" s="35">
        <v>68.5</v>
      </c>
      <c r="C40" s="35">
        <v>68.900000000000006</v>
      </c>
      <c r="D40" s="40">
        <f t="shared" si="0"/>
        <v>0.99419448476052241</v>
      </c>
      <c r="E40" s="76">
        <f t="shared" si="1"/>
        <v>67.089489051094901</v>
      </c>
      <c r="F40" s="35">
        <v>67</v>
      </c>
    </row>
    <row r="41" spans="1:6" x14ac:dyDescent="0.35">
      <c r="A41" s="24">
        <v>1895</v>
      </c>
      <c r="B41" s="35">
        <v>69.900000000000006</v>
      </c>
      <c r="C41" s="35">
        <v>70.8</v>
      </c>
      <c r="D41" s="40">
        <f t="shared" si="0"/>
        <v>0.98728813559322048</v>
      </c>
      <c r="E41" s="76">
        <f t="shared" si="1"/>
        <v>67.558798283261794</v>
      </c>
      <c r="F41" s="41">
        <v>67.5</v>
      </c>
    </row>
    <row r="42" spans="1:6" x14ac:dyDescent="0.35">
      <c r="A42" s="24">
        <v>1896</v>
      </c>
      <c r="B42" s="35">
        <v>72</v>
      </c>
      <c r="C42" s="35">
        <v>72</v>
      </c>
      <c r="D42" s="24">
        <f t="shared" si="0"/>
        <v>1</v>
      </c>
      <c r="E42" s="76">
        <f t="shared" si="1"/>
        <v>66.7</v>
      </c>
      <c r="F42" s="41">
        <v>66.67</v>
      </c>
    </row>
    <row r="43" spans="1:6" x14ac:dyDescent="0.35">
      <c r="A43" s="24">
        <v>1897</v>
      </c>
      <c r="B43" s="35">
        <v>74.400000000000006</v>
      </c>
      <c r="C43" s="35">
        <v>74.400000000000006</v>
      </c>
      <c r="D43" s="24">
        <f t="shared" si="0"/>
        <v>1</v>
      </c>
      <c r="E43" s="76">
        <f t="shared" si="1"/>
        <v>66.7</v>
      </c>
      <c r="F43" s="41">
        <v>66.67</v>
      </c>
    </row>
    <row r="44" spans="1:6" x14ac:dyDescent="0.35">
      <c r="A44" s="24">
        <v>1898</v>
      </c>
      <c r="B44" s="35">
        <v>78.2</v>
      </c>
      <c r="C44" s="35">
        <v>78.2</v>
      </c>
      <c r="D44" s="24">
        <f t="shared" si="0"/>
        <v>1</v>
      </c>
      <c r="E44" s="76">
        <f t="shared" si="1"/>
        <v>66.7</v>
      </c>
      <c r="F44" s="41">
        <v>66.67</v>
      </c>
    </row>
    <row r="45" spans="1:6" x14ac:dyDescent="0.35">
      <c r="A45" s="24">
        <v>1899</v>
      </c>
      <c r="B45" s="35">
        <v>80.7</v>
      </c>
      <c r="C45" s="35">
        <v>80.7</v>
      </c>
      <c r="D45" s="24">
        <f t="shared" si="0"/>
        <v>1</v>
      </c>
      <c r="E45" s="76">
        <f t="shared" si="1"/>
        <v>66.7</v>
      </c>
      <c r="F45" s="41">
        <v>66.67</v>
      </c>
    </row>
    <row r="46" spans="1:6" x14ac:dyDescent="0.35">
      <c r="A46" s="24">
        <v>1900</v>
      </c>
      <c r="B46" s="35">
        <v>84.2</v>
      </c>
      <c r="C46" s="35">
        <v>84.2</v>
      </c>
      <c r="D46" s="24">
        <f t="shared" si="0"/>
        <v>1</v>
      </c>
      <c r="E46" s="76">
        <f t="shared" si="1"/>
        <v>66.7</v>
      </c>
    </row>
    <row r="47" spans="1:6" x14ac:dyDescent="0.35">
      <c r="A47" s="24">
        <v>1901</v>
      </c>
      <c r="B47" s="35">
        <v>79.8</v>
      </c>
      <c r="C47" s="35">
        <v>79.8</v>
      </c>
      <c r="D47" s="24">
        <f t="shared" si="0"/>
        <v>1</v>
      </c>
      <c r="E47" s="76">
        <f t="shared" si="1"/>
        <v>66.7</v>
      </c>
    </row>
    <row r="48" spans="1:6" x14ac:dyDescent="0.35">
      <c r="A48" s="24">
        <v>1902</v>
      </c>
      <c r="B48" s="35">
        <v>75.8</v>
      </c>
      <c r="C48" s="35">
        <v>75.8</v>
      </c>
      <c r="D48" s="24">
        <f t="shared" si="0"/>
        <v>1</v>
      </c>
      <c r="E48" s="76">
        <f t="shared" si="1"/>
        <v>66.7</v>
      </c>
    </row>
    <row r="49" spans="1:12" x14ac:dyDescent="0.35">
      <c r="A49" s="24">
        <v>1903</v>
      </c>
      <c r="B49" s="35">
        <v>72.400000000000006</v>
      </c>
      <c r="C49" s="35">
        <v>77.400000000000006</v>
      </c>
      <c r="D49" s="40">
        <f t="shared" si="0"/>
        <v>0.93540051679586567</v>
      </c>
      <c r="E49" s="76">
        <f t="shared" si="1"/>
        <v>71.306353591160217</v>
      </c>
    </row>
    <row r="50" spans="1:12" x14ac:dyDescent="0.35">
      <c r="A50" s="24">
        <v>1904</v>
      </c>
      <c r="B50" s="35">
        <v>80.099999999999994</v>
      </c>
      <c r="C50" s="35">
        <v>80.099999999999994</v>
      </c>
      <c r="D50" s="24">
        <f t="shared" si="0"/>
        <v>1</v>
      </c>
      <c r="E50" s="76">
        <f t="shared" si="1"/>
        <v>66.7</v>
      </c>
    </row>
    <row r="51" spans="1:12" x14ac:dyDescent="0.35">
      <c r="A51" s="24">
        <v>1905</v>
      </c>
      <c r="B51" s="35">
        <v>81.900000000000006</v>
      </c>
      <c r="C51" s="35">
        <v>81.900000000000006</v>
      </c>
      <c r="D51" s="24">
        <f t="shared" si="0"/>
        <v>1</v>
      </c>
      <c r="E51" s="76">
        <f t="shared" si="1"/>
        <v>66.7</v>
      </c>
    </row>
    <row r="52" spans="1:12" x14ac:dyDescent="0.35">
      <c r="A52" s="24">
        <v>1906</v>
      </c>
      <c r="B52" s="35">
        <v>89.3</v>
      </c>
      <c r="C52" s="35">
        <v>89.3</v>
      </c>
      <c r="D52" s="24">
        <f t="shared" si="0"/>
        <v>1</v>
      </c>
      <c r="E52" s="76">
        <f t="shared" si="1"/>
        <v>66.7</v>
      </c>
    </row>
    <row r="53" spans="1:12" x14ac:dyDescent="0.35">
      <c r="A53" s="24">
        <v>1907</v>
      </c>
      <c r="B53" s="35">
        <v>97</v>
      </c>
      <c r="C53" s="35">
        <v>97</v>
      </c>
      <c r="D53" s="24">
        <f t="shared" si="0"/>
        <v>1</v>
      </c>
      <c r="E53" s="76">
        <f t="shared" si="1"/>
        <v>66.7</v>
      </c>
    </row>
    <row r="54" spans="1:12" x14ac:dyDescent="0.35">
      <c r="A54" s="24">
        <v>1908</v>
      </c>
      <c r="B54" s="35">
        <v>93</v>
      </c>
      <c r="C54" s="35">
        <v>93</v>
      </c>
      <c r="D54" s="24">
        <f t="shared" si="0"/>
        <v>1</v>
      </c>
      <c r="E54" s="76">
        <f t="shared" si="1"/>
        <v>66.7</v>
      </c>
    </row>
    <row r="55" spans="1:12" x14ac:dyDescent="0.35">
      <c r="A55" s="24">
        <v>1909</v>
      </c>
      <c r="B55" s="35">
        <v>91</v>
      </c>
      <c r="C55" s="35">
        <v>91</v>
      </c>
      <c r="D55" s="24">
        <f t="shared" si="0"/>
        <v>1</v>
      </c>
      <c r="E55" s="76">
        <f t="shared" si="1"/>
        <v>66.7</v>
      </c>
    </row>
    <row r="56" spans="1:12" x14ac:dyDescent="0.35">
      <c r="A56" s="24">
        <v>1910</v>
      </c>
      <c r="B56" s="35">
        <v>91.6</v>
      </c>
      <c r="C56" s="35">
        <v>91.6</v>
      </c>
      <c r="D56" s="24">
        <f t="shared" si="0"/>
        <v>1</v>
      </c>
      <c r="E56" s="76">
        <f t="shared" si="1"/>
        <v>66.7</v>
      </c>
    </row>
    <row r="57" spans="1:12" x14ac:dyDescent="0.35">
      <c r="A57" s="24">
        <v>1911</v>
      </c>
      <c r="B57" s="35">
        <v>94.8</v>
      </c>
      <c r="C57" s="35">
        <v>94.8</v>
      </c>
      <c r="D57" s="24">
        <f t="shared" si="0"/>
        <v>1</v>
      </c>
      <c r="E57" s="76">
        <f t="shared" si="1"/>
        <v>66.7</v>
      </c>
    </row>
    <row r="58" spans="1:12" x14ac:dyDescent="0.35">
      <c r="A58" s="24">
        <v>1912</v>
      </c>
      <c r="B58" s="35">
        <v>98</v>
      </c>
      <c r="C58" s="35">
        <v>98</v>
      </c>
      <c r="D58" s="24">
        <f t="shared" si="0"/>
        <v>1</v>
      </c>
      <c r="E58" s="76">
        <f t="shared" si="1"/>
        <v>66.7</v>
      </c>
    </row>
    <row r="59" spans="1:12" x14ac:dyDescent="0.35">
      <c r="A59" s="24">
        <v>1913</v>
      </c>
      <c r="B59" s="35">
        <v>100</v>
      </c>
      <c r="C59" s="35">
        <v>100</v>
      </c>
      <c r="D59" s="24">
        <f t="shared" si="0"/>
        <v>1</v>
      </c>
      <c r="E59" s="76">
        <f t="shared" si="1"/>
        <v>66.7</v>
      </c>
    </row>
    <row r="60" spans="1:12" x14ac:dyDescent="0.35">
      <c r="A60" s="24">
        <v>1914</v>
      </c>
      <c r="B60" s="35">
        <v>109.2</v>
      </c>
      <c r="C60" s="35">
        <v>106.9</v>
      </c>
      <c r="D60" s="40">
        <f t="shared" si="0"/>
        <v>1.0215154349859681</v>
      </c>
      <c r="E60" s="76">
        <f t="shared" si="1"/>
        <v>65.295146520146531</v>
      </c>
    </row>
    <row r="62" spans="1:12" x14ac:dyDescent="0.35">
      <c r="A62" s="24" t="s">
        <v>0</v>
      </c>
    </row>
    <row r="63" spans="1:12" x14ac:dyDescent="0.35">
      <c r="A63" s="42" t="s">
        <v>136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x14ac:dyDescent="0.35">
      <c r="A64" s="24" t="s">
        <v>131</v>
      </c>
    </row>
    <row r="65" spans="1:1" x14ac:dyDescent="0.35">
      <c r="A65" s="24" t="s">
        <v>141</v>
      </c>
    </row>
    <row r="66" spans="1:1" x14ac:dyDescent="0.35">
      <c r="A66" s="24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B1" sqref="B1"/>
    </sheetView>
  </sheetViews>
  <sheetFormatPr defaultColWidth="9.1796875" defaultRowHeight="14.5" x14ac:dyDescent="0.35"/>
  <cols>
    <col min="1" max="1" width="9.1796875" style="20"/>
    <col min="2" max="2" width="97.81640625" style="21" customWidth="1"/>
    <col min="3" max="3" width="50" style="21" customWidth="1"/>
    <col min="4" max="16384" width="9.1796875" style="21"/>
  </cols>
  <sheetData>
    <row r="1" spans="1:3" ht="18.5" x14ac:dyDescent="0.45">
      <c r="B1" s="22" t="s">
        <v>110</v>
      </c>
    </row>
    <row r="3" spans="1:3" ht="15.5" x14ac:dyDescent="0.35">
      <c r="A3" s="28" t="s">
        <v>3</v>
      </c>
      <c r="B3" s="28" t="s">
        <v>111</v>
      </c>
      <c r="C3" s="28" t="s">
        <v>112</v>
      </c>
    </row>
    <row r="4" spans="1:3" ht="31" x14ac:dyDescent="0.35">
      <c r="A4" s="28">
        <v>1859</v>
      </c>
      <c r="B4" s="23" t="s">
        <v>21</v>
      </c>
      <c r="C4" s="23" t="s">
        <v>105</v>
      </c>
    </row>
    <row r="5" spans="1:3" ht="15.5" x14ac:dyDescent="0.35">
      <c r="A5" s="28">
        <v>1860</v>
      </c>
      <c r="B5" s="23" t="s">
        <v>22</v>
      </c>
      <c r="C5" s="23"/>
    </row>
    <row r="6" spans="1:3" ht="15.5" x14ac:dyDescent="0.35">
      <c r="A6" s="28">
        <v>1861</v>
      </c>
      <c r="B6" s="23" t="s">
        <v>20</v>
      </c>
      <c r="C6" s="23"/>
    </row>
    <row r="7" spans="1:3" ht="31" x14ac:dyDescent="0.35">
      <c r="A7" s="28">
        <v>1862</v>
      </c>
      <c r="B7" s="23" t="s">
        <v>23</v>
      </c>
      <c r="C7" s="23"/>
    </row>
    <row r="8" spans="1:3" ht="31" x14ac:dyDescent="0.35">
      <c r="A8" s="28">
        <v>1863</v>
      </c>
      <c r="B8" s="23" t="s">
        <v>24</v>
      </c>
      <c r="C8" s="23"/>
    </row>
    <row r="9" spans="1:3" ht="31" x14ac:dyDescent="0.35">
      <c r="A9" s="28">
        <v>1864</v>
      </c>
      <c r="B9" s="23" t="s">
        <v>24</v>
      </c>
      <c r="C9" s="23"/>
    </row>
    <row r="10" spans="1:3" ht="31" x14ac:dyDescent="0.35">
      <c r="A10" s="28">
        <v>1865</v>
      </c>
      <c r="B10" s="23" t="s">
        <v>25</v>
      </c>
      <c r="C10" s="23"/>
    </row>
    <row r="11" spans="1:3" ht="31" x14ac:dyDescent="0.35">
      <c r="A11" s="28">
        <v>1866</v>
      </c>
      <c r="B11" s="23" t="s">
        <v>26</v>
      </c>
      <c r="C11" s="23"/>
    </row>
    <row r="12" spans="1:3" ht="31" x14ac:dyDescent="0.35">
      <c r="A12" s="28">
        <v>1867</v>
      </c>
      <c r="B12" s="23" t="s">
        <v>27</v>
      </c>
      <c r="C12" s="23"/>
    </row>
    <row r="13" spans="1:3" ht="31" x14ac:dyDescent="0.35">
      <c r="A13" s="28">
        <v>1868</v>
      </c>
      <c r="B13" s="23" t="s">
        <v>28</v>
      </c>
      <c r="C13" s="23"/>
    </row>
    <row r="14" spans="1:3" ht="31" x14ac:dyDescent="0.35">
      <c r="A14" s="28">
        <v>1869</v>
      </c>
      <c r="B14" s="23" t="s">
        <v>29</v>
      </c>
      <c r="C14" s="23"/>
    </row>
    <row r="15" spans="1:3" ht="31" x14ac:dyDescent="0.35">
      <c r="A15" s="28">
        <v>1870</v>
      </c>
      <c r="B15" s="23" t="s">
        <v>30</v>
      </c>
      <c r="C15" s="23"/>
    </row>
    <row r="16" spans="1:3" ht="31" x14ac:dyDescent="0.35">
      <c r="A16" s="28">
        <v>1871</v>
      </c>
      <c r="B16" s="23" t="s">
        <v>31</v>
      </c>
      <c r="C16" s="23"/>
    </row>
    <row r="17" spans="1:3" ht="31" x14ac:dyDescent="0.35">
      <c r="A17" s="28">
        <v>1872</v>
      </c>
      <c r="B17" s="23" t="s">
        <v>32</v>
      </c>
      <c r="C17" s="23"/>
    </row>
    <row r="18" spans="1:3" ht="31" x14ac:dyDescent="0.35">
      <c r="A18" s="28">
        <v>1873</v>
      </c>
      <c r="B18" s="23" t="s">
        <v>32</v>
      </c>
      <c r="C18" s="23"/>
    </row>
    <row r="19" spans="1:3" ht="31" x14ac:dyDescent="0.35">
      <c r="A19" s="28">
        <v>1874</v>
      </c>
      <c r="B19" s="23" t="s">
        <v>33</v>
      </c>
      <c r="C19" s="23"/>
    </row>
    <row r="20" spans="1:3" ht="18.75" customHeight="1" x14ac:dyDescent="0.35">
      <c r="A20" s="28">
        <v>1875</v>
      </c>
      <c r="B20" s="23" t="s">
        <v>34</v>
      </c>
      <c r="C20" s="23"/>
    </row>
    <row r="21" spans="1:3" ht="15.5" x14ac:dyDescent="0.35">
      <c r="A21" s="28">
        <v>1876</v>
      </c>
      <c r="B21" s="23" t="s">
        <v>35</v>
      </c>
      <c r="C21" s="23"/>
    </row>
    <row r="22" spans="1:3" ht="31" x14ac:dyDescent="0.35">
      <c r="A22" s="28">
        <v>1877</v>
      </c>
      <c r="B22" s="23" t="s">
        <v>36</v>
      </c>
      <c r="C22" s="23" t="s">
        <v>56</v>
      </c>
    </row>
    <row r="23" spans="1:3" ht="31" x14ac:dyDescent="0.35">
      <c r="A23" s="28">
        <v>1878</v>
      </c>
      <c r="B23" s="23" t="s">
        <v>37</v>
      </c>
      <c r="C23" s="23"/>
    </row>
    <row r="24" spans="1:3" ht="31" x14ac:dyDescent="0.35">
      <c r="A24" s="28">
        <v>1879</v>
      </c>
      <c r="B24" s="23" t="s">
        <v>37</v>
      </c>
      <c r="C24" s="23"/>
    </row>
    <row r="25" spans="1:3" ht="31" x14ac:dyDescent="0.35">
      <c r="A25" s="28">
        <v>1880</v>
      </c>
      <c r="B25" s="23" t="s">
        <v>37</v>
      </c>
      <c r="C25" s="23"/>
    </row>
    <row r="26" spans="1:3" ht="16.5" customHeight="1" x14ac:dyDescent="0.35">
      <c r="A26" s="28">
        <v>1881</v>
      </c>
      <c r="B26" s="23" t="s">
        <v>39</v>
      </c>
      <c r="C26" s="23"/>
    </row>
    <row r="27" spans="1:3" ht="31" x14ac:dyDescent="0.35">
      <c r="A27" s="28">
        <v>1882</v>
      </c>
      <c r="B27" s="23" t="s">
        <v>40</v>
      </c>
      <c r="C27" s="23"/>
    </row>
    <row r="28" spans="1:3" ht="14.25" customHeight="1" x14ac:dyDescent="0.35">
      <c r="A28" s="28">
        <v>1883</v>
      </c>
      <c r="B28" s="23" t="s">
        <v>39</v>
      </c>
      <c r="C28" s="23"/>
    </row>
    <row r="29" spans="1:3" ht="31" x14ac:dyDescent="0.35">
      <c r="A29" s="28">
        <v>1884</v>
      </c>
      <c r="B29" s="23" t="s">
        <v>41</v>
      </c>
      <c r="C29" s="23"/>
    </row>
    <row r="30" spans="1:3" ht="15.75" customHeight="1" x14ac:dyDescent="0.35">
      <c r="A30" s="28">
        <v>1885</v>
      </c>
      <c r="B30" s="23" t="s">
        <v>42</v>
      </c>
      <c r="C30" s="23"/>
    </row>
    <row r="31" spans="1:3" ht="15.5" x14ac:dyDescent="0.35">
      <c r="A31" s="28">
        <v>1886</v>
      </c>
      <c r="B31" s="23" t="s">
        <v>43</v>
      </c>
      <c r="C31" s="23"/>
    </row>
    <row r="32" spans="1:3" ht="15.5" x14ac:dyDescent="0.35">
      <c r="A32" s="28">
        <v>1887</v>
      </c>
      <c r="B32" s="23" t="s">
        <v>43</v>
      </c>
      <c r="C32" s="23"/>
    </row>
    <row r="33" spans="1:3" ht="15.5" x14ac:dyDescent="0.35">
      <c r="A33" s="28">
        <v>1888</v>
      </c>
      <c r="B33" s="23" t="s">
        <v>43</v>
      </c>
      <c r="C33" s="23"/>
    </row>
    <row r="34" spans="1:3" ht="15.5" x14ac:dyDescent="0.35">
      <c r="A34" s="28">
        <v>1889</v>
      </c>
      <c r="B34" s="23" t="s">
        <v>43</v>
      </c>
      <c r="C34" s="23"/>
    </row>
    <row r="35" spans="1:3" ht="15.5" x14ac:dyDescent="0.35">
      <c r="A35" s="28">
        <v>1890</v>
      </c>
      <c r="B35" s="23" t="s">
        <v>43</v>
      </c>
      <c r="C35" s="23"/>
    </row>
    <row r="36" spans="1:3" ht="15.5" x14ac:dyDescent="0.35">
      <c r="A36" s="28">
        <v>1891</v>
      </c>
      <c r="B36" s="23" t="s">
        <v>43</v>
      </c>
      <c r="C36" s="23"/>
    </row>
    <row r="37" spans="1:3" ht="15.5" x14ac:dyDescent="0.35">
      <c r="A37" s="28">
        <v>1892</v>
      </c>
      <c r="B37" s="23" t="s">
        <v>43</v>
      </c>
      <c r="C37" s="23"/>
    </row>
    <row r="38" spans="1:3" ht="15.5" x14ac:dyDescent="0.35">
      <c r="A38" s="28">
        <v>1893</v>
      </c>
      <c r="B38" s="23" t="s">
        <v>43</v>
      </c>
      <c r="C38" s="23"/>
    </row>
    <row r="39" spans="1:3" ht="15.5" x14ac:dyDescent="0.35">
      <c r="A39" s="28">
        <v>1894</v>
      </c>
      <c r="B39" s="23" t="s">
        <v>44</v>
      </c>
      <c r="C39" s="23"/>
    </row>
    <row r="40" spans="1:3" ht="15.5" x14ac:dyDescent="0.35">
      <c r="A40" s="28">
        <v>1895</v>
      </c>
      <c r="B40" s="23" t="s">
        <v>45</v>
      </c>
      <c r="C40" s="23"/>
    </row>
    <row r="41" spans="1:3" ht="15.5" x14ac:dyDescent="0.35">
      <c r="A41" s="28">
        <v>1896</v>
      </c>
      <c r="B41" s="23" t="s">
        <v>46</v>
      </c>
      <c r="C41" s="23"/>
    </row>
    <row r="42" spans="1:3" ht="15.5" x14ac:dyDescent="0.35">
      <c r="A42" s="28">
        <v>1897</v>
      </c>
      <c r="B42" s="23" t="s">
        <v>46</v>
      </c>
      <c r="C42" s="23"/>
    </row>
    <row r="43" spans="1:3" ht="15.5" x14ac:dyDescent="0.35">
      <c r="A43" s="28">
        <v>1898</v>
      </c>
      <c r="B43" s="23" t="s">
        <v>46</v>
      </c>
      <c r="C43" s="23"/>
    </row>
    <row r="44" spans="1:3" ht="15.5" x14ac:dyDescent="0.35">
      <c r="A44" s="28">
        <v>1899</v>
      </c>
      <c r="B44" s="23" t="s">
        <v>46</v>
      </c>
      <c r="C44" s="23"/>
    </row>
    <row r="45" spans="1:3" ht="15.5" x14ac:dyDescent="0.35">
      <c r="A45" s="28">
        <v>1900</v>
      </c>
      <c r="B45" s="23" t="s">
        <v>46</v>
      </c>
      <c r="C45" s="23"/>
    </row>
    <row r="46" spans="1:3" ht="31" x14ac:dyDescent="0.35">
      <c r="A46" s="28">
        <v>1901</v>
      </c>
      <c r="B46" s="23" t="s">
        <v>47</v>
      </c>
      <c r="C46" s="23"/>
    </row>
    <row r="47" spans="1:3" ht="15.5" x14ac:dyDescent="0.35">
      <c r="A47" s="28">
        <v>1902</v>
      </c>
      <c r="B47" s="23" t="s">
        <v>48</v>
      </c>
      <c r="C47" s="23"/>
    </row>
    <row r="48" spans="1:3" ht="15.5" x14ac:dyDescent="0.35">
      <c r="A48" s="28">
        <v>1903</v>
      </c>
      <c r="B48" s="23" t="s">
        <v>49</v>
      </c>
      <c r="C48" s="23"/>
    </row>
    <row r="49" spans="1:3" ht="15.5" x14ac:dyDescent="0.35">
      <c r="A49" s="28">
        <v>1904</v>
      </c>
      <c r="B49" s="23" t="s">
        <v>50</v>
      </c>
      <c r="C49" s="23"/>
    </row>
    <row r="50" spans="1:3" ht="15.5" x14ac:dyDescent="0.35">
      <c r="A50" s="28">
        <v>1907</v>
      </c>
      <c r="B50" s="23" t="s">
        <v>51</v>
      </c>
      <c r="C50" s="23"/>
    </row>
    <row r="51" spans="1:3" ht="15.5" x14ac:dyDescent="0.35">
      <c r="A51" s="28">
        <v>1911</v>
      </c>
      <c r="B51" s="23" t="s">
        <v>52</v>
      </c>
      <c r="C51" s="23"/>
    </row>
    <row r="52" spans="1:3" ht="15.5" x14ac:dyDescent="0.35">
      <c r="A52" s="28">
        <v>1912</v>
      </c>
      <c r="B52" s="23" t="s">
        <v>53</v>
      </c>
      <c r="C52" s="23"/>
    </row>
    <row r="53" spans="1:3" ht="31" x14ac:dyDescent="0.35">
      <c r="A53" s="28">
        <v>1913</v>
      </c>
      <c r="B53" s="23" t="s">
        <v>54</v>
      </c>
      <c r="C53" s="23"/>
    </row>
    <row r="54" spans="1:3" ht="15.5" x14ac:dyDescent="0.35">
      <c r="A54" s="28">
        <v>1914</v>
      </c>
      <c r="B54" s="23" t="s">
        <v>55</v>
      </c>
      <c r="C54" s="2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" sqref="B1"/>
    </sheetView>
  </sheetViews>
  <sheetFormatPr defaultColWidth="9.1796875" defaultRowHeight="15.5" x14ac:dyDescent="0.35"/>
  <cols>
    <col min="1" max="1" width="9.1796875" style="46"/>
    <col min="2" max="2" width="93" style="23" customWidth="1"/>
    <col min="3" max="3" width="50" style="23" customWidth="1"/>
    <col min="4" max="16384" width="9.1796875" style="23"/>
  </cols>
  <sheetData>
    <row r="1" spans="1:3" ht="18.5" x14ac:dyDescent="0.45">
      <c r="B1" s="22" t="s">
        <v>118</v>
      </c>
    </row>
    <row r="3" spans="1:3" x14ac:dyDescent="0.35">
      <c r="A3" s="46" t="s">
        <v>3</v>
      </c>
      <c r="B3" s="28" t="s">
        <v>111</v>
      </c>
      <c r="C3" s="28" t="s">
        <v>112</v>
      </c>
    </row>
    <row r="4" spans="1:3" ht="31" x14ac:dyDescent="0.35">
      <c r="A4" s="46" t="s">
        <v>58</v>
      </c>
      <c r="B4" s="23" t="s">
        <v>59</v>
      </c>
      <c r="C4" s="23" t="s">
        <v>105</v>
      </c>
    </row>
    <row r="5" spans="1:3" ht="31" x14ac:dyDescent="0.35">
      <c r="A5" s="46" t="s">
        <v>60</v>
      </c>
      <c r="B5" s="23" t="s">
        <v>61</v>
      </c>
      <c r="C5" s="23" t="s">
        <v>38</v>
      </c>
    </row>
    <row r="6" spans="1:3" ht="31" x14ac:dyDescent="0.35">
      <c r="A6" s="46" t="s">
        <v>62</v>
      </c>
      <c r="B6" s="23" t="s">
        <v>63</v>
      </c>
    </row>
    <row r="7" spans="1:3" x14ac:dyDescent="0.35">
      <c r="A7" s="46">
        <v>1896</v>
      </c>
      <c r="B7" s="23" t="s">
        <v>64</v>
      </c>
    </row>
    <row r="8" spans="1:3" ht="31.5" customHeight="1" x14ac:dyDescent="0.35">
      <c r="A8" s="46">
        <v>1897</v>
      </c>
      <c r="B8" s="23" t="s">
        <v>65</v>
      </c>
    </row>
    <row r="9" spans="1:3" ht="31.5" customHeight="1" x14ac:dyDescent="0.35">
      <c r="A9" s="46">
        <v>1898</v>
      </c>
      <c r="B9" s="23" t="s">
        <v>65</v>
      </c>
    </row>
    <row r="10" spans="1:3" ht="31.5" customHeight="1" x14ac:dyDescent="0.35">
      <c r="A10" s="46">
        <v>1899</v>
      </c>
      <c r="B10" s="23" t="s">
        <v>65</v>
      </c>
    </row>
    <row r="11" spans="1:3" ht="31.5" customHeight="1" x14ac:dyDescent="0.35">
      <c r="A11" s="46">
        <v>1900</v>
      </c>
      <c r="B11" s="23" t="s">
        <v>66</v>
      </c>
    </row>
    <row r="12" spans="1:3" ht="31" x14ac:dyDescent="0.35">
      <c r="A12" s="46">
        <v>1901</v>
      </c>
      <c r="B12" s="23" t="s">
        <v>67</v>
      </c>
    </row>
    <row r="13" spans="1:3" ht="30.75" customHeight="1" x14ac:dyDescent="0.35">
      <c r="A13" s="46">
        <v>1902</v>
      </c>
      <c r="B13" s="23" t="s">
        <v>69</v>
      </c>
    </row>
    <row r="14" spans="1:3" ht="33.75" customHeight="1" x14ac:dyDescent="0.35">
      <c r="A14" s="46">
        <v>1903</v>
      </c>
      <c r="B14" s="23" t="s">
        <v>68</v>
      </c>
    </row>
    <row r="15" spans="1:3" ht="62" x14ac:dyDescent="0.35">
      <c r="A15" s="46">
        <v>1904</v>
      </c>
      <c r="B15" s="23" t="s">
        <v>74</v>
      </c>
    </row>
    <row r="16" spans="1:3" ht="62" x14ac:dyDescent="0.35">
      <c r="A16" s="46">
        <v>1905</v>
      </c>
      <c r="B16" s="23" t="s">
        <v>74</v>
      </c>
    </row>
    <row r="17" spans="1:2" ht="46.5" x14ac:dyDescent="0.35">
      <c r="A17" s="46">
        <v>1906</v>
      </c>
      <c r="B17" s="23" t="s">
        <v>73</v>
      </c>
    </row>
    <row r="18" spans="1:2" ht="46.5" x14ac:dyDescent="0.35">
      <c r="A18" s="46">
        <v>1907</v>
      </c>
      <c r="B18" s="23" t="s">
        <v>72</v>
      </c>
    </row>
    <row r="19" spans="1:2" ht="31" x14ac:dyDescent="0.35">
      <c r="A19" s="46">
        <v>1908</v>
      </c>
      <c r="B19" s="23" t="s">
        <v>71</v>
      </c>
    </row>
    <row r="20" spans="1:2" x14ac:dyDescent="0.35">
      <c r="A20" s="46">
        <v>1909</v>
      </c>
      <c r="B20" s="23" t="s">
        <v>70</v>
      </c>
    </row>
    <row r="21" spans="1:2" x14ac:dyDescent="0.35">
      <c r="A21" s="46">
        <v>1910</v>
      </c>
      <c r="B21" s="2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Nizhny Novgorod land leases</vt:lpstr>
      <vt:lpstr>лесные_склады</vt:lpstr>
      <vt:lpstr>индексы_графики</vt:lpstr>
      <vt:lpstr>курс_рубля</vt:lpstr>
      <vt:lpstr>источники_кирпичн_заводы</vt:lpstr>
      <vt:lpstr>источники_лесные_склады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2020-08-23T13:42:11Z</dcterms:created>
  <dcterms:modified xsi:type="dcterms:W3CDTF">2025-02-14T06:00:50Z</dcterms:modified>
</cp:coreProperties>
</file>